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EsteLivro"/>
  <bookViews>
    <workbookView xWindow="10785" yWindow="-15" windowWidth="10830" windowHeight="9240" activeTab="5"/>
  </bookViews>
  <sheets>
    <sheet name="Índice" sheetId="3" r:id="rId1"/>
    <sheet name="Dados a Colocar" sheetId="4" r:id="rId2"/>
    <sheet name="Recibo" sheetId="1" r:id="rId3"/>
    <sheet name="Conta-Corrente" sheetId="5" r:id="rId4"/>
    <sheet name="Declaração para IRS" sheetId="2" r:id="rId5"/>
    <sheet name="Contabilização" sheetId="6" r:id="rId6"/>
  </sheets>
  <definedNames>
    <definedName name="_xlnm._FilterDatabase" localSheetId="3" hidden="1">'Conta-Corrente'!$B$10:$I$10</definedName>
    <definedName name="_xlnm.Print_Area" localSheetId="5">Contabilização!$B$1:$N$1000</definedName>
    <definedName name="_xlnm.Print_Area" localSheetId="3">'Conta-Corrente'!$B$2:$I$90</definedName>
    <definedName name="_xlnm.Print_Area" localSheetId="4">'Declaração para IRS'!$C$2:$J$51</definedName>
    <definedName name="_xlnm.Print_Area" localSheetId="2">Recibo!$B$10:$S$79</definedName>
    <definedName name="_xlnm.Print_Titles" localSheetId="5">Contabilização!$7:$7</definedName>
    <definedName name="_xlnm.Print_Titles" localSheetId="3">'Conta-Corrente'!$10:$10</definedName>
  </definedNames>
  <calcPr calcId="145621"/>
</workbook>
</file>

<file path=xl/calcChain.xml><?xml version="1.0" encoding="utf-8"?>
<calcChain xmlns="http://schemas.openxmlformats.org/spreadsheetml/2006/main">
  <c r="L83" i="5" l="1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K13" i="5"/>
  <c r="J12" i="5"/>
  <c r="Q73" i="1"/>
  <c r="Q71" i="1"/>
  <c r="Q69" i="1"/>
  <c r="P73" i="1"/>
  <c r="P69" i="1"/>
  <c r="P38" i="1"/>
  <c r="P34" i="1"/>
  <c r="B75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B76" i="1"/>
  <c r="C76" i="1"/>
  <c r="F76" i="1"/>
  <c r="H76" i="1"/>
  <c r="J76" i="1"/>
  <c r="K76" i="1"/>
  <c r="L76" i="1"/>
  <c r="O76" i="1"/>
  <c r="P76" i="1"/>
  <c r="Q76" i="1"/>
  <c r="R76" i="1"/>
  <c r="S76" i="1"/>
  <c r="J26" i="4"/>
  <c r="C44" i="2" l="1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/>
  <c r="J72" i="5"/>
  <c r="K71" i="5"/>
  <c r="J71" i="5"/>
  <c r="K70" i="5"/>
  <c r="J70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K49" i="5"/>
  <c r="J49" i="5"/>
  <c r="K48" i="5"/>
  <c r="J48" i="5"/>
  <c r="K47" i="5"/>
  <c r="J47" i="5"/>
  <c r="K46" i="5"/>
  <c r="J46" i="5"/>
  <c r="K45" i="5"/>
  <c r="J45" i="5"/>
  <c r="K44" i="5"/>
  <c r="J44" i="5"/>
  <c r="K43" i="5"/>
  <c r="J43" i="5"/>
  <c r="K42" i="5"/>
  <c r="J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K29" i="5"/>
  <c r="J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K12" i="5"/>
  <c r="K11" i="5"/>
  <c r="J14" i="5"/>
  <c r="J13" i="5"/>
  <c r="J11" i="5"/>
  <c r="H4" i="5"/>
  <c r="C27" i="1"/>
  <c r="Q28" i="1"/>
  <c r="M24" i="6" l="1"/>
  <c r="A1000" i="6"/>
  <c r="A999" i="6"/>
  <c r="A998" i="6"/>
  <c r="A997" i="6"/>
  <c r="A996" i="6"/>
  <c r="A995" i="6"/>
  <c r="A994" i="6"/>
  <c r="A993" i="6"/>
  <c r="A992" i="6"/>
  <c r="A991" i="6"/>
  <c r="A990" i="6"/>
  <c r="A989" i="6"/>
  <c r="A988" i="6"/>
  <c r="A987" i="6"/>
  <c r="A986" i="6"/>
  <c r="A985" i="6"/>
  <c r="A984" i="6"/>
  <c r="A983" i="6"/>
  <c r="A982" i="6"/>
  <c r="A981" i="6"/>
  <c r="A980" i="6"/>
  <c r="A979" i="6"/>
  <c r="A978" i="6"/>
  <c r="A977" i="6"/>
  <c r="A976" i="6"/>
  <c r="A975" i="6"/>
  <c r="A974" i="6"/>
  <c r="A973" i="6"/>
  <c r="A972" i="6"/>
  <c r="A971" i="6"/>
  <c r="A970" i="6"/>
  <c r="A969" i="6"/>
  <c r="A968" i="6"/>
  <c r="A967" i="6"/>
  <c r="A966" i="6"/>
  <c r="A965" i="6"/>
  <c r="A964" i="6"/>
  <c r="A963" i="6"/>
  <c r="A962" i="6"/>
  <c r="A961" i="6"/>
  <c r="A960" i="6"/>
  <c r="A959" i="6"/>
  <c r="A958" i="6"/>
  <c r="A957" i="6"/>
  <c r="A956" i="6"/>
  <c r="A955" i="6"/>
  <c r="A954" i="6"/>
  <c r="A953" i="6"/>
  <c r="A952" i="6"/>
  <c r="A951" i="6"/>
  <c r="A950" i="6"/>
  <c r="A949" i="6"/>
  <c r="A948" i="6"/>
  <c r="A947" i="6"/>
  <c r="A946" i="6"/>
  <c r="A945" i="6"/>
  <c r="A944" i="6"/>
  <c r="A943" i="6"/>
  <c r="A942" i="6"/>
  <c r="A941" i="6"/>
  <c r="A940" i="6"/>
  <c r="A939" i="6"/>
  <c r="A938" i="6"/>
  <c r="A937" i="6"/>
  <c r="A936" i="6"/>
  <c r="A935" i="6"/>
  <c r="A934" i="6"/>
  <c r="A933" i="6"/>
  <c r="A932" i="6"/>
  <c r="A931" i="6"/>
  <c r="A930" i="6"/>
  <c r="A929" i="6"/>
  <c r="A928" i="6"/>
  <c r="A927" i="6"/>
  <c r="A926" i="6"/>
  <c r="A925" i="6"/>
  <c r="A924" i="6"/>
  <c r="A923" i="6"/>
  <c r="A922" i="6"/>
  <c r="A921" i="6"/>
  <c r="A920" i="6"/>
  <c r="A919" i="6"/>
  <c r="A918" i="6"/>
  <c r="A917" i="6"/>
  <c r="A916" i="6"/>
  <c r="A915" i="6"/>
  <c r="A914" i="6"/>
  <c r="A913" i="6"/>
  <c r="A912" i="6"/>
  <c r="A911" i="6"/>
  <c r="A910" i="6"/>
  <c r="A909" i="6"/>
  <c r="A908" i="6"/>
  <c r="A907" i="6"/>
  <c r="A906" i="6"/>
  <c r="A905" i="6"/>
  <c r="A904" i="6"/>
  <c r="A903" i="6"/>
  <c r="A902" i="6"/>
  <c r="A901" i="6"/>
  <c r="A900" i="6"/>
  <c r="A899" i="6"/>
  <c r="A898" i="6"/>
  <c r="A897" i="6"/>
  <c r="A896" i="6"/>
  <c r="A895" i="6"/>
  <c r="A894" i="6"/>
  <c r="A893" i="6"/>
  <c r="A892" i="6"/>
  <c r="A891" i="6"/>
  <c r="A890" i="6"/>
  <c r="A889" i="6"/>
  <c r="A888" i="6"/>
  <c r="A887" i="6"/>
  <c r="A886" i="6"/>
  <c r="A885" i="6"/>
  <c r="A884" i="6"/>
  <c r="A883" i="6"/>
  <c r="A882" i="6"/>
  <c r="A881" i="6"/>
  <c r="A880" i="6"/>
  <c r="A879" i="6"/>
  <c r="A878" i="6"/>
  <c r="A877" i="6"/>
  <c r="A876" i="6"/>
  <c r="A875" i="6"/>
  <c r="A874" i="6"/>
  <c r="A873" i="6"/>
  <c r="A872" i="6"/>
  <c r="A871" i="6"/>
  <c r="A870" i="6"/>
  <c r="A869" i="6"/>
  <c r="A868" i="6"/>
  <c r="A867" i="6"/>
  <c r="A866" i="6"/>
  <c r="A865" i="6"/>
  <c r="A864" i="6"/>
  <c r="A863" i="6"/>
  <c r="A862" i="6"/>
  <c r="A861" i="6"/>
  <c r="A860" i="6"/>
  <c r="A859" i="6"/>
  <c r="A858" i="6"/>
  <c r="A857" i="6"/>
  <c r="A856" i="6"/>
  <c r="A855" i="6"/>
  <c r="A854" i="6"/>
  <c r="A853" i="6"/>
  <c r="A852" i="6"/>
  <c r="A851" i="6"/>
  <c r="A850" i="6"/>
  <c r="A849" i="6"/>
  <c r="A848" i="6"/>
  <c r="A847" i="6"/>
  <c r="A846" i="6"/>
  <c r="A845" i="6"/>
  <c r="A844" i="6"/>
  <c r="A843" i="6"/>
  <c r="A842" i="6"/>
  <c r="A841" i="6"/>
  <c r="A840" i="6"/>
  <c r="A839" i="6"/>
  <c r="A838" i="6"/>
  <c r="A837" i="6"/>
  <c r="A836" i="6"/>
  <c r="A835" i="6"/>
  <c r="A834" i="6"/>
  <c r="A833" i="6"/>
  <c r="A832" i="6"/>
  <c r="A831" i="6"/>
  <c r="A830" i="6"/>
  <c r="A829" i="6"/>
  <c r="A828" i="6"/>
  <c r="A827" i="6"/>
  <c r="A826" i="6"/>
  <c r="A825" i="6"/>
  <c r="A824" i="6"/>
  <c r="A823" i="6"/>
  <c r="A822" i="6"/>
  <c r="A821" i="6"/>
  <c r="A820" i="6"/>
  <c r="A819" i="6"/>
  <c r="A818" i="6"/>
  <c r="A817" i="6"/>
  <c r="A816" i="6"/>
  <c r="A815" i="6"/>
  <c r="A814" i="6"/>
  <c r="A813" i="6"/>
  <c r="A812" i="6"/>
  <c r="A811" i="6"/>
  <c r="A810" i="6"/>
  <c r="A809" i="6"/>
  <c r="A808" i="6"/>
  <c r="A807" i="6"/>
  <c r="A806" i="6"/>
  <c r="A805" i="6"/>
  <c r="A804" i="6"/>
  <c r="A803" i="6"/>
  <c r="A802" i="6"/>
  <c r="A801" i="6"/>
  <c r="A800" i="6"/>
  <c r="A799" i="6"/>
  <c r="A798" i="6"/>
  <c r="A797" i="6"/>
  <c r="A796" i="6"/>
  <c r="A795" i="6"/>
  <c r="A794" i="6"/>
  <c r="A793" i="6"/>
  <c r="A792" i="6"/>
  <c r="A791" i="6"/>
  <c r="A790" i="6"/>
  <c r="A789" i="6"/>
  <c r="A788" i="6"/>
  <c r="A787" i="6"/>
  <c r="A786" i="6"/>
  <c r="A785" i="6"/>
  <c r="A784" i="6"/>
  <c r="A783" i="6"/>
  <c r="A782" i="6"/>
  <c r="A781" i="6"/>
  <c r="A780" i="6"/>
  <c r="A779" i="6"/>
  <c r="A778" i="6"/>
  <c r="A777" i="6"/>
  <c r="A776" i="6"/>
  <c r="A775" i="6"/>
  <c r="A774" i="6"/>
  <c r="A773" i="6"/>
  <c r="A772" i="6"/>
  <c r="A771" i="6"/>
  <c r="A770" i="6"/>
  <c r="A769" i="6"/>
  <c r="A768" i="6"/>
  <c r="A767" i="6"/>
  <c r="A766" i="6"/>
  <c r="A765" i="6"/>
  <c r="A764" i="6"/>
  <c r="A763" i="6"/>
  <c r="A762" i="6"/>
  <c r="A761" i="6"/>
  <c r="A760" i="6"/>
  <c r="A759" i="6"/>
  <c r="A758" i="6"/>
  <c r="A757" i="6"/>
  <c r="A756" i="6"/>
  <c r="A755" i="6"/>
  <c r="A754" i="6"/>
  <c r="A753" i="6"/>
  <c r="A752" i="6"/>
  <c r="A751" i="6"/>
  <c r="A750" i="6"/>
  <c r="A749" i="6"/>
  <c r="A748" i="6"/>
  <c r="A747" i="6"/>
  <c r="A746" i="6"/>
  <c r="A745" i="6"/>
  <c r="A744" i="6"/>
  <c r="A743" i="6"/>
  <c r="A742" i="6"/>
  <c r="A741" i="6"/>
  <c r="A740" i="6"/>
  <c r="A739" i="6"/>
  <c r="A738" i="6"/>
  <c r="A737" i="6"/>
  <c r="A736" i="6"/>
  <c r="A735" i="6"/>
  <c r="A734" i="6"/>
  <c r="A733" i="6"/>
  <c r="A732" i="6"/>
  <c r="A731" i="6"/>
  <c r="A730" i="6"/>
  <c r="A729" i="6"/>
  <c r="A728" i="6"/>
  <c r="A727" i="6"/>
  <c r="A726" i="6"/>
  <c r="A725" i="6"/>
  <c r="A724" i="6"/>
  <c r="A723" i="6"/>
  <c r="A722" i="6"/>
  <c r="A721" i="6"/>
  <c r="A720" i="6"/>
  <c r="A719" i="6"/>
  <c r="A718" i="6"/>
  <c r="A717" i="6"/>
  <c r="A716" i="6"/>
  <c r="A715" i="6"/>
  <c r="A714" i="6"/>
  <c r="A713" i="6"/>
  <c r="A712" i="6"/>
  <c r="A711" i="6"/>
  <c r="A710" i="6"/>
  <c r="A709" i="6"/>
  <c r="A708" i="6"/>
  <c r="A707" i="6"/>
  <c r="A706" i="6"/>
  <c r="A705" i="6"/>
  <c r="A704" i="6"/>
  <c r="A703" i="6"/>
  <c r="A702" i="6"/>
  <c r="A701" i="6"/>
  <c r="A700" i="6"/>
  <c r="A699" i="6"/>
  <c r="A698" i="6"/>
  <c r="A697" i="6"/>
  <c r="A696" i="6"/>
  <c r="A695" i="6"/>
  <c r="A694" i="6"/>
  <c r="A693" i="6"/>
  <c r="A692" i="6"/>
  <c r="A691" i="6"/>
  <c r="A690" i="6"/>
  <c r="A689" i="6"/>
  <c r="A688" i="6"/>
  <c r="A687" i="6"/>
  <c r="A686" i="6"/>
  <c r="A685" i="6"/>
  <c r="A684" i="6"/>
  <c r="A683" i="6"/>
  <c r="A682" i="6"/>
  <c r="A681" i="6"/>
  <c r="A680" i="6"/>
  <c r="A679" i="6"/>
  <c r="A678" i="6"/>
  <c r="A677" i="6"/>
  <c r="A676" i="6"/>
  <c r="A675" i="6"/>
  <c r="A674" i="6"/>
  <c r="A673" i="6"/>
  <c r="A672" i="6"/>
  <c r="A671" i="6"/>
  <c r="A670" i="6"/>
  <c r="A669" i="6"/>
  <c r="A668" i="6"/>
  <c r="A667" i="6"/>
  <c r="A666" i="6"/>
  <c r="A665" i="6"/>
  <c r="A664" i="6"/>
  <c r="A663" i="6"/>
  <c r="A662" i="6"/>
  <c r="A661" i="6"/>
  <c r="A660" i="6"/>
  <c r="A659" i="6"/>
  <c r="A658" i="6"/>
  <c r="A657" i="6"/>
  <c r="A656" i="6"/>
  <c r="A655" i="6"/>
  <c r="A654" i="6"/>
  <c r="A653" i="6"/>
  <c r="A652" i="6"/>
  <c r="A651" i="6"/>
  <c r="A650" i="6"/>
  <c r="A649" i="6"/>
  <c r="A648" i="6"/>
  <c r="A647" i="6"/>
  <c r="A646" i="6"/>
  <c r="A645" i="6"/>
  <c r="A644" i="6"/>
  <c r="A643" i="6"/>
  <c r="A642" i="6"/>
  <c r="A641" i="6"/>
  <c r="A640" i="6"/>
  <c r="A639" i="6"/>
  <c r="A638" i="6"/>
  <c r="A637" i="6"/>
  <c r="A636" i="6"/>
  <c r="A635" i="6"/>
  <c r="A634" i="6"/>
  <c r="A633" i="6"/>
  <c r="A632" i="6"/>
  <c r="A631" i="6"/>
  <c r="A630" i="6"/>
  <c r="A629" i="6"/>
  <c r="A628" i="6"/>
  <c r="A627" i="6"/>
  <c r="A626" i="6"/>
  <c r="A625" i="6"/>
  <c r="A624" i="6"/>
  <c r="A623" i="6"/>
  <c r="A622" i="6"/>
  <c r="A621" i="6"/>
  <c r="A620" i="6"/>
  <c r="A619" i="6"/>
  <c r="A618" i="6"/>
  <c r="A617" i="6"/>
  <c r="A616" i="6"/>
  <c r="A615" i="6"/>
  <c r="A614" i="6"/>
  <c r="A613" i="6"/>
  <c r="A612" i="6"/>
  <c r="A611" i="6"/>
  <c r="A610" i="6"/>
  <c r="A609" i="6"/>
  <c r="A608" i="6"/>
  <c r="A607" i="6"/>
  <c r="A606" i="6"/>
  <c r="A605" i="6"/>
  <c r="A604" i="6"/>
  <c r="A603" i="6"/>
  <c r="A602" i="6"/>
  <c r="A601" i="6"/>
  <c r="A600" i="6"/>
  <c r="A599" i="6"/>
  <c r="A598" i="6"/>
  <c r="A597" i="6"/>
  <c r="A596" i="6"/>
  <c r="A595" i="6"/>
  <c r="A594" i="6"/>
  <c r="A593" i="6"/>
  <c r="A592" i="6"/>
  <c r="A591" i="6"/>
  <c r="A590" i="6"/>
  <c r="A589" i="6"/>
  <c r="A588" i="6"/>
  <c r="A587" i="6"/>
  <c r="A586" i="6"/>
  <c r="A585" i="6"/>
  <c r="A584" i="6"/>
  <c r="A583" i="6"/>
  <c r="A582" i="6"/>
  <c r="A581" i="6"/>
  <c r="A580" i="6"/>
  <c r="A579" i="6"/>
  <c r="A578" i="6"/>
  <c r="A577" i="6"/>
  <c r="A576" i="6"/>
  <c r="A575" i="6"/>
  <c r="A574" i="6"/>
  <c r="A573" i="6"/>
  <c r="A572" i="6"/>
  <c r="A571" i="6"/>
  <c r="A570" i="6"/>
  <c r="A569" i="6"/>
  <c r="A568" i="6"/>
  <c r="A567" i="6"/>
  <c r="A566" i="6"/>
  <c r="A565" i="6"/>
  <c r="A564" i="6"/>
  <c r="A563" i="6"/>
  <c r="A562" i="6"/>
  <c r="A561" i="6"/>
  <c r="A560" i="6"/>
  <c r="A559" i="6"/>
  <c r="A558" i="6"/>
  <c r="A557" i="6"/>
  <c r="A556" i="6"/>
  <c r="A555" i="6"/>
  <c r="A554" i="6"/>
  <c r="A553" i="6"/>
  <c r="A552" i="6"/>
  <c r="A551" i="6"/>
  <c r="A550" i="6"/>
  <c r="A549" i="6"/>
  <c r="A548" i="6"/>
  <c r="A547" i="6"/>
  <c r="A546" i="6"/>
  <c r="A545" i="6"/>
  <c r="A544" i="6"/>
  <c r="A543" i="6"/>
  <c r="A542" i="6"/>
  <c r="A541" i="6"/>
  <c r="A540" i="6"/>
  <c r="A539" i="6"/>
  <c r="A538" i="6"/>
  <c r="A537" i="6"/>
  <c r="A536" i="6"/>
  <c r="A535" i="6"/>
  <c r="A534" i="6"/>
  <c r="A533" i="6"/>
  <c r="A532" i="6"/>
  <c r="A531" i="6"/>
  <c r="A530" i="6"/>
  <c r="A529" i="6"/>
  <c r="A528" i="6"/>
  <c r="A527" i="6"/>
  <c r="A526" i="6"/>
  <c r="A525" i="6"/>
  <c r="A524" i="6"/>
  <c r="A523" i="6"/>
  <c r="A522" i="6"/>
  <c r="A521" i="6"/>
  <c r="A520" i="6"/>
  <c r="A519" i="6"/>
  <c r="A518" i="6"/>
  <c r="A517" i="6"/>
  <c r="A516" i="6"/>
  <c r="A515" i="6"/>
  <c r="A514" i="6"/>
  <c r="A513" i="6"/>
  <c r="A512" i="6"/>
  <c r="A511" i="6"/>
  <c r="A510" i="6"/>
  <c r="A509" i="6"/>
  <c r="A508" i="6"/>
  <c r="A507" i="6"/>
  <c r="A506" i="6"/>
  <c r="A505" i="6"/>
  <c r="A504" i="6"/>
  <c r="A503" i="6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N25" i="6" s="1"/>
  <c r="A8" i="6"/>
  <c r="N26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E9" i="6"/>
  <c r="E1000" i="6"/>
  <c r="E999" i="6"/>
  <c r="E998" i="6"/>
  <c r="E997" i="6"/>
  <c r="E996" i="6"/>
  <c r="E995" i="6"/>
  <c r="E994" i="6"/>
  <c r="E993" i="6"/>
  <c r="E992" i="6"/>
  <c r="E991" i="6"/>
  <c r="E990" i="6"/>
  <c r="E989" i="6"/>
  <c r="E988" i="6"/>
  <c r="E987" i="6"/>
  <c r="E986" i="6"/>
  <c r="E985" i="6"/>
  <c r="E984" i="6"/>
  <c r="E983" i="6"/>
  <c r="E982" i="6"/>
  <c r="E981" i="6"/>
  <c r="E980" i="6"/>
  <c r="E979" i="6"/>
  <c r="E978" i="6"/>
  <c r="E977" i="6"/>
  <c r="E976" i="6"/>
  <c r="E975" i="6"/>
  <c r="E974" i="6"/>
  <c r="E973" i="6"/>
  <c r="E972" i="6"/>
  <c r="E971" i="6"/>
  <c r="E970" i="6"/>
  <c r="E969" i="6"/>
  <c r="E968" i="6"/>
  <c r="E967" i="6"/>
  <c r="E966" i="6"/>
  <c r="E965" i="6"/>
  <c r="E964" i="6"/>
  <c r="E963" i="6"/>
  <c r="E962" i="6"/>
  <c r="E961" i="6"/>
  <c r="E960" i="6"/>
  <c r="E959" i="6"/>
  <c r="E958" i="6"/>
  <c r="E957" i="6"/>
  <c r="E956" i="6"/>
  <c r="E955" i="6"/>
  <c r="E954" i="6"/>
  <c r="E953" i="6"/>
  <c r="E952" i="6"/>
  <c r="E951" i="6"/>
  <c r="E950" i="6"/>
  <c r="E949" i="6"/>
  <c r="E948" i="6"/>
  <c r="E947" i="6"/>
  <c r="E946" i="6"/>
  <c r="E945" i="6"/>
  <c r="E944" i="6"/>
  <c r="E943" i="6"/>
  <c r="E942" i="6"/>
  <c r="E941" i="6"/>
  <c r="E940" i="6"/>
  <c r="E939" i="6"/>
  <c r="E938" i="6"/>
  <c r="E937" i="6"/>
  <c r="E936" i="6"/>
  <c r="E935" i="6"/>
  <c r="E934" i="6"/>
  <c r="E933" i="6"/>
  <c r="E932" i="6"/>
  <c r="E931" i="6"/>
  <c r="E930" i="6"/>
  <c r="E929" i="6"/>
  <c r="E928" i="6"/>
  <c r="E927" i="6"/>
  <c r="E926" i="6"/>
  <c r="E925" i="6"/>
  <c r="E924" i="6"/>
  <c r="E923" i="6"/>
  <c r="E922" i="6"/>
  <c r="E921" i="6"/>
  <c r="E920" i="6"/>
  <c r="E919" i="6"/>
  <c r="E918" i="6"/>
  <c r="E917" i="6"/>
  <c r="E916" i="6"/>
  <c r="E915" i="6"/>
  <c r="E914" i="6"/>
  <c r="E913" i="6"/>
  <c r="E912" i="6"/>
  <c r="E911" i="6"/>
  <c r="E910" i="6"/>
  <c r="E909" i="6"/>
  <c r="E908" i="6"/>
  <c r="E907" i="6"/>
  <c r="E906" i="6"/>
  <c r="E905" i="6"/>
  <c r="E904" i="6"/>
  <c r="E903" i="6"/>
  <c r="E902" i="6"/>
  <c r="E901" i="6"/>
  <c r="E900" i="6"/>
  <c r="E899" i="6"/>
  <c r="E898" i="6"/>
  <c r="E897" i="6"/>
  <c r="E896" i="6"/>
  <c r="E895" i="6"/>
  <c r="E894" i="6"/>
  <c r="E893" i="6"/>
  <c r="E892" i="6"/>
  <c r="E891" i="6"/>
  <c r="E890" i="6"/>
  <c r="E889" i="6"/>
  <c r="E888" i="6"/>
  <c r="E887" i="6"/>
  <c r="E886" i="6"/>
  <c r="E885" i="6"/>
  <c r="E884" i="6"/>
  <c r="E883" i="6"/>
  <c r="E882" i="6"/>
  <c r="E881" i="6"/>
  <c r="E880" i="6"/>
  <c r="E879" i="6"/>
  <c r="E878" i="6"/>
  <c r="E877" i="6"/>
  <c r="E876" i="6"/>
  <c r="E875" i="6"/>
  <c r="E874" i="6"/>
  <c r="E873" i="6"/>
  <c r="E872" i="6"/>
  <c r="E871" i="6"/>
  <c r="E870" i="6"/>
  <c r="E869" i="6"/>
  <c r="E868" i="6"/>
  <c r="E867" i="6"/>
  <c r="E866" i="6"/>
  <c r="E865" i="6"/>
  <c r="E864" i="6"/>
  <c r="E863" i="6"/>
  <c r="E862" i="6"/>
  <c r="E861" i="6"/>
  <c r="E860" i="6"/>
  <c r="E859" i="6"/>
  <c r="E858" i="6"/>
  <c r="E857" i="6"/>
  <c r="E856" i="6"/>
  <c r="E855" i="6"/>
  <c r="E854" i="6"/>
  <c r="E853" i="6"/>
  <c r="E852" i="6"/>
  <c r="E851" i="6"/>
  <c r="E850" i="6"/>
  <c r="E849" i="6"/>
  <c r="E848" i="6"/>
  <c r="E847" i="6"/>
  <c r="E846" i="6"/>
  <c r="E845" i="6"/>
  <c r="E844" i="6"/>
  <c r="E843" i="6"/>
  <c r="E842" i="6"/>
  <c r="E841" i="6"/>
  <c r="E840" i="6"/>
  <c r="E839" i="6"/>
  <c r="E838" i="6"/>
  <c r="E837" i="6"/>
  <c r="E836" i="6"/>
  <c r="E835" i="6"/>
  <c r="E834" i="6"/>
  <c r="E833" i="6"/>
  <c r="E832" i="6"/>
  <c r="E831" i="6"/>
  <c r="E830" i="6"/>
  <c r="E829" i="6"/>
  <c r="E828" i="6"/>
  <c r="E827" i="6"/>
  <c r="E826" i="6"/>
  <c r="E825" i="6"/>
  <c r="E824" i="6"/>
  <c r="E823" i="6"/>
  <c r="E822" i="6"/>
  <c r="E821" i="6"/>
  <c r="E820" i="6"/>
  <c r="E819" i="6"/>
  <c r="E818" i="6"/>
  <c r="E817" i="6"/>
  <c r="E816" i="6"/>
  <c r="E815" i="6"/>
  <c r="E814" i="6"/>
  <c r="E813" i="6"/>
  <c r="E812" i="6"/>
  <c r="E811" i="6"/>
  <c r="E810" i="6"/>
  <c r="E809" i="6"/>
  <c r="E808" i="6"/>
  <c r="E807" i="6"/>
  <c r="E806" i="6"/>
  <c r="E805" i="6"/>
  <c r="E804" i="6"/>
  <c r="E803" i="6"/>
  <c r="E802" i="6"/>
  <c r="E801" i="6"/>
  <c r="E800" i="6"/>
  <c r="E799" i="6"/>
  <c r="E798" i="6"/>
  <c r="E797" i="6"/>
  <c r="E796" i="6"/>
  <c r="E795" i="6"/>
  <c r="E794" i="6"/>
  <c r="E793" i="6"/>
  <c r="E792" i="6"/>
  <c r="E791" i="6"/>
  <c r="E790" i="6"/>
  <c r="E789" i="6"/>
  <c r="E788" i="6"/>
  <c r="E787" i="6"/>
  <c r="E786" i="6"/>
  <c r="E785" i="6"/>
  <c r="E784" i="6"/>
  <c r="E783" i="6"/>
  <c r="E782" i="6"/>
  <c r="E781" i="6"/>
  <c r="E780" i="6"/>
  <c r="E779" i="6"/>
  <c r="E778" i="6"/>
  <c r="E777" i="6"/>
  <c r="E776" i="6"/>
  <c r="E775" i="6"/>
  <c r="E774" i="6"/>
  <c r="E773" i="6"/>
  <c r="E772" i="6"/>
  <c r="E771" i="6"/>
  <c r="E770" i="6"/>
  <c r="E769" i="6"/>
  <c r="E768" i="6"/>
  <c r="E767" i="6"/>
  <c r="E766" i="6"/>
  <c r="E765" i="6"/>
  <c r="E764" i="6"/>
  <c r="E763" i="6"/>
  <c r="E762" i="6"/>
  <c r="E761" i="6"/>
  <c r="E760" i="6"/>
  <c r="E759" i="6"/>
  <c r="E758" i="6"/>
  <c r="E757" i="6"/>
  <c r="E756" i="6"/>
  <c r="E755" i="6"/>
  <c r="E754" i="6"/>
  <c r="E753" i="6"/>
  <c r="E752" i="6"/>
  <c r="E751" i="6"/>
  <c r="E750" i="6"/>
  <c r="E749" i="6"/>
  <c r="E748" i="6"/>
  <c r="E747" i="6"/>
  <c r="E746" i="6"/>
  <c r="E745" i="6"/>
  <c r="E744" i="6"/>
  <c r="E743" i="6"/>
  <c r="E742" i="6"/>
  <c r="E741" i="6"/>
  <c r="E740" i="6"/>
  <c r="E739" i="6"/>
  <c r="E738" i="6"/>
  <c r="E737" i="6"/>
  <c r="E736" i="6"/>
  <c r="E735" i="6"/>
  <c r="E734" i="6"/>
  <c r="E733" i="6"/>
  <c r="E732" i="6"/>
  <c r="E731" i="6"/>
  <c r="E730" i="6"/>
  <c r="E729" i="6"/>
  <c r="E728" i="6"/>
  <c r="E727" i="6"/>
  <c r="E726" i="6"/>
  <c r="E725" i="6"/>
  <c r="E724" i="6"/>
  <c r="E723" i="6"/>
  <c r="E722" i="6"/>
  <c r="E721" i="6"/>
  <c r="E720" i="6"/>
  <c r="E719" i="6"/>
  <c r="E718" i="6"/>
  <c r="E717" i="6"/>
  <c r="E716" i="6"/>
  <c r="E715" i="6"/>
  <c r="E714" i="6"/>
  <c r="E713" i="6"/>
  <c r="E712" i="6"/>
  <c r="E711" i="6"/>
  <c r="E710" i="6"/>
  <c r="E709" i="6"/>
  <c r="E708" i="6"/>
  <c r="E707" i="6"/>
  <c r="E706" i="6"/>
  <c r="E705" i="6"/>
  <c r="E704" i="6"/>
  <c r="E703" i="6"/>
  <c r="E702" i="6"/>
  <c r="E701" i="6"/>
  <c r="E700" i="6"/>
  <c r="E699" i="6"/>
  <c r="E698" i="6"/>
  <c r="E697" i="6"/>
  <c r="E696" i="6"/>
  <c r="E695" i="6"/>
  <c r="E694" i="6"/>
  <c r="E693" i="6"/>
  <c r="E692" i="6"/>
  <c r="E691" i="6"/>
  <c r="E690" i="6"/>
  <c r="E689" i="6"/>
  <c r="E688" i="6"/>
  <c r="E687" i="6"/>
  <c r="E686" i="6"/>
  <c r="E685" i="6"/>
  <c r="E684" i="6"/>
  <c r="E683" i="6"/>
  <c r="E682" i="6"/>
  <c r="E681" i="6"/>
  <c r="E680" i="6"/>
  <c r="E679" i="6"/>
  <c r="E678" i="6"/>
  <c r="E677" i="6"/>
  <c r="E676" i="6"/>
  <c r="E675" i="6"/>
  <c r="E674" i="6"/>
  <c r="E673" i="6"/>
  <c r="E672" i="6"/>
  <c r="E671" i="6"/>
  <c r="E670" i="6"/>
  <c r="E669" i="6"/>
  <c r="E668" i="6"/>
  <c r="E667" i="6"/>
  <c r="E666" i="6"/>
  <c r="E665" i="6"/>
  <c r="E664" i="6"/>
  <c r="E663" i="6"/>
  <c r="E662" i="6"/>
  <c r="E661" i="6"/>
  <c r="E660" i="6"/>
  <c r="E659" i="6"/>
  <c r="E658" i="6"/>
  <c r="E657" i="6"/>
  <c r="E656" i="6"/>
  <c r="E655" i="6"/>
  <c r="E654" i="6"/>
  <c r="E653" i="6"/>
  <c r="E652" i="6"/>
  <c r="E651" i="6"/>
  <c r="E650" i="6"/>
  <c r="E649" i="6"/>
  <c r="E648" i="6"/>
  <c r="E647" i="6"/>
  <c r="E646" i="6"/>
  <c r="E645" i="6"/>
  <c r="E644" i="6"/>
  <c r="E643" i="6"/>
  <c r="E642" i="6"/>
  <c r="E641" i="6"/>
  <c r="E640" i="6"/>
  <c r="E639" i="6"/>
  <c r="E638" i="6"/>
  <c r="E637" i="6"/>
  <c r="E636" i="6"/>
  <c r="E635" i="6"/>
  <c r="E634" i="6"/>
  <c r="E633" i="6"/>
  <c r="E632" i="6"/>
  <c r="E631" i="6"/>
  <c r="E630" i="6"/>
  <c r="E629" i="6"/>
  <c r="E628" i="6"/>
  <c r="E627" i="6"/>
  <c r="E626" i="6"/>
  <c r="E625" i="6"/>
  <c r="E624" i="6"/>
  <c r="E623" i="6"/>
  <c r="E622" i="6"/>
  <c r="E621" i="6"/>
  <c r="E620" i="6"/>
  <c r="E619" i="6"/>
  <c r="E618" i="6"/>
  <c r="E617" i="6"/>
  <c r="E616" i="6"/>
  <c r="E615" i="6"/>
  <c r="E614" i="6"/>
  <c r="E613" i="6"/>
  <c r="E612" i="6"/>
  <c r="E611" i="6"/>
  <c r="E610" i="6"/>
  <c r="E609" i="6"/>
  <c r="E608" i="6"/>
  <c r="E607" i="6"/>
  <c r="E606" i="6"/>
  <c r="E605" i="6"/>
  <c r="E604" i="6"/>
  <c r="E603" i="6"/>
  <c r="E602" i="6"/>
  <c r="E601" i="6"/>
  <c r="E600" i="6"/>
  <c r="E599" i="6"/>
  <c r="E598" i="6"/>
  <c r="E597" i="6"/>
  <c r="E596" i="6"/>
  <c r="E595" i="6"/>
  <c r="E594" i="6"/>
  <c r="E593" i="6"/>
  <c r="E592" i="6"/>
  <c r="E591" i="6"/>
  <c r="E590" i="6"/>
  <c r="E589" i="6"/>
  <c r="E588" i="6"/>
  <c r="E587" i="6"/>
  <c r="E586" i="6"/>
  <c r="E585" i="6"/>
  <c r="E584" i="6"/>
  <c r="E583" i="6"/>
  <c r="E582" i="6"/>
  <c r="E581" i="6"/>
  <c r="E580" i="6"/>
  <c r="E579" i="6"/>
  <c r="E578" i="6"/>
  <c r="E577" i="6"/>
  <c r="E576" i="6"/>
  <c r="E575" i="6"/>
  <c r="E574" i="6"/>
  <c r="E573" i="6"/>
  <c r="E572" i="6"/>
  <c r="E571" i="6"/>
  <c r="E570" i="6"/>
  <c r="E569" i="6"/>
  <c r="E568" i="6"/>
  <c r="E567" i="6"/>
  <c r="E566" i="6"/>
  <c r="E565" i="6"/>
  <c r="E564" i="6"/>
  <c r="E563" i="6"/>
  <c r="E562" i="6"/>
  <c r="E561" i="6"/>
  <c r="E560" i="6"/>
  <c r="E559" i="6"/>
  <c r="E558" i="6"/>
  <c r="E557" i="6"/>
  <c r="E556" i="6"/>
  <c r="E555" i="6"/>
  <c r="E554" i="6"/>
  <c r="E553" i="6"/>
  <c r="E552" i="6"/>
  <c r="E551" i="6"/>
  <c r="E550" i="6"/>
  <c r="E549" i="6"/>
  <c r="E548" i="6"/>
  <c r="E547" i="6"/>
  <c r="E546" i="6"/>
  <c r="E545" i="6"/>
  <c r="E544" i="6"/>
  <c r="E543" i="6"/>
  <c r="E542" i="6"/>
  <c r="E541" i="6"/>
  <c r="E540" i="6"/>
  <c r="E539" i="6"/>
  <c r="E538" i="6"/>
  <c r="E537" i="6"/>
  <c r="E536" i="6"/>
  <c r="E535" i="6"/>
  <c r="E534" i="6"/>
  <c r="E533" i="6"/>
  <c r="E532" i="6"/>
  <c r="E531" i="6"/>
  <c r="E530" i="6"/>
  <c r="E529" i="6"/>
  <c r="E528" i="6"/>
  <c r="E527" i="6"/>
  <c r="E526" i="6"/>
  <c r="E525" i="6"/>
  <c r="E524" i="6"/>
  <c r="E523" i="6"/>
  <c r="E522" i="6"/>
  <c r="E521" i="6"/>
  <c r="E520" i="6"/>
  <c r="E519" i="6"/>
  <c r="E518" i="6"/>
  <c r="E517" i="6"/>
  <c r="E516" i="6"/>
  <c r="E515" i="6"/>
  <c r="E514" i="6"/>
  <c r="E513" i="6"/>
  <c r="E512" i="6"/>
  <c r="E511" i="6"/>
  <c r="E510" i="6"/>
  <c r="E509" i="6"/>
  <c r="E508" i="6"/>
  <c r="E507" i="6"/>
  <c r="E506" i="6"/>
  <c r="E505" i="6"/>
  <c r="E504" i="6"/>
  <c r="E503" i="6"/>
  <c r="E502" i="6"/>
  <c r="E501" i="6"/>
  <c r="E500" i="6"/>
  <c r="E499" i="6"/>
  <c r="E498" i="6"/>
  <c r="E497" i="6"/>
  <c r="E496" i="6"/>
  <c r="E495" i="6"/>
  <c r="E494" i="6"/>
  <c r="E493" i="6"/>
  <c r="E492" i="6"/>
  <c r="E491" i="6"/>
  <c r="E490" i="6"/>
  <c r="E489" i="6"/>
  <c r="E488" i="6"/>
  <c r="E487" i="6"/>
  <c r="E486" i="6"/>
  <c r="E485" i="6"/>
  <c r="E484" i="6"/>
  <c r="E483" i="6"/>
  <c r="E482" i="6"/>
  <c r="E481" i="6"/>
  <c r="E480" i="6"/>
  <c r="E479" i="6"/>
  <c r="E478" i="6"/>
  <c r="E477" i="6"/>
  <c r="E476" i="6"/>
  <c r="E475" i="6"/>
  <c r="E474" i="6"/>
  <c r="E473" i="6"/>
  <c r="E472" i="6"/>
  <c r="E471" i="6"/>
  <c r="E470" i="6"/>
  <c r="E469" i="6"/>
  <c r="E468" i="6"/>
  <c r="E467" i="6"/>
  <c r="E466" i="6"/>
  <c r="E465" i="6"/>
  <c r="E464" i="6"/>
  <c r="E463" i="6"/>
  <c r="E462" i="6"/>
  <c r="E461" i="6"/>
  <c r="E460" i="6"/>
  <c r="E459" i="6"/>
  <c r="E458" i="6"/>
  <c r="E457" i="6"/>
  <c r="E456" i="6"/>
  <c r="E455" i="6"/>
  <c r="E454" i="6"/>
  <c r="E453" i="6"/>
  <c r="E452" i="6"/>
  <c r="E451" i="6"/>
  <c r="E450" i="6"/>
  <c r="E449" i="6"/>
  <c r="E448" i="6"/>
  <c r="E447" i="6"/>
  <c r="E446" i="6"/>
  <c r="E445" i="6"/>
  <c r="E444" i="6"/>
  <c r="E443" i="6"/>
  <c r="E442" i="6"/>
  <c r="E441" i="6"/>
  <c r="E440" i="6"/>
  <c r="E439" i="6"/>
  <c r="E438" i="6"/>
  <c r="E437" i="6"/>
  <c r="E436" i="6"/>
  <c r="E435" i="6"/>
  <c r="E434" i="6"/>
  <c r="E433" i="6"/>
  <c r="E432" i="6"/>
  <c r="E431" i="6"/>
  <c r="E430" i="6"/>
  <c r="E429" i="6"/>
  <c r="E428" i="6"/>
  <c r="E427" i="6"/>
  <c r="E426" i="6"/>
  <c r="E425" i="6"/>
  <c r="E424" i="6"/>
  <c r="E423" i="6"/>
  <c r="E422" i="6"/>
  <c r="E421" i="6"/>
  <c r="E420" i="6"/>
  <c r="E419" i="6"/>
  <c r="E418" i="6"/>
  <c r="E417" i="6"/>
  <c r="E416" i="6"/>
  <c r="E415" i="6"/>
  <c r="E414" i="6"/>
  <c r="E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E377" i="6"/>
  <c r="E376" i="6"/>
  <c r="E375" i="6"/>
  <c r="E374" i="6"/>
  <c r="E373" i="6"/>
  <c r="E372" i="6"/>
  <c r="E371" i="6"/>
  <c r="E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E338" i="6"/>
  <c r="E337" i="6"/>
  <c r="E336" i="6"/>
  <c r="E335" i="6"/>
  <c r="E334" i="6"/>
  <c r="E333" i="6"/>
  <c r="E332" i="6"/>
  <c r="E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8" i="6"/>
  <c r="G1000" i="6"/>
  <c r="G999" i="6"/>
  <c r="G998" i="6"/>
  <c r="G997" i="6"/>
  <c r="G996" i="6"/>
  <c r="G995" i="6"/>
  <c r="G994" i="6"/>
  <c r="G993" i="6"/>
  <c r="G992" i="6"/>
  <c r="G991" i="6"/>
  <c r="G990" i="6"/>
  <c r="G989" i="6"/>
  <c r="G988" i="6"/>
  <c r="G987" i="6"/>
  <c r="G986" i="6"/>
  <c r="G985" i="6"/>
  <c r="G984" i="6"/>
  <c r="G983" i="6"/>
  <c r="G982" i="6"/>
  <c r="G981" i="6"/>
  <c r="G980" i="6"/>
  <c r="G979" i="6"/>
  <c r="G978" i="6"/>
  <c r="G977" i="6"/>
  <c r="G976" i="6"/>
  <c r="G975" i="6"/>
  <c r="G974" i="6"/>
  <c r="G973" i="6"/>
  <c r="G972" i="6"/>
  <c r="G971" i="6"/>
  <c r="G970" i="6"/>
  <c r="G969" i="6"/>
  <c r="G968" i="6"/>
  <c r="G967" i="6"/>
  <c r="G966" i="6"/>
  <c r="G965" i="6"/>
  <c r="G964" i="6"/>
  <c r="G963" i="6"/>
  <c r="G962" i="6"/>
  <c r="G961" i="6"/>
  <c r="G960" i="6"/>
  <c r="G959" i="6"/>
  <c r="G958" i="6"/>
  <c r="G957" i="6"/>
  <c r="G956" i="6"/>
  <c r="G955" i="6"/>
  <c r="G954" i="6"/>
  <c r="G953" i="6"/>
  <c r="G952" i="6"/>
  <c r="G951" i="6"/>
  <c r="G950" i="6"/>
  <c r="G949" i="6"/>
  <c r="G948" i="6"/>
  <c r="G947" i="6"/>
  <c r="G946" i="6"/>
  <c r="G945" i="6"/>
  <c r="G944" i="6"/>
  <c r="G943" i="6"/>
  <c r="G942" i="6"/>
  <c r="G941" i="6"/>
  <c r="G940" i="6"/>
  <c r="G939" i="6"/>
  <c r="G938" i="6"/>
  <c r="G937" i="6"/>
  <c r="G936" i="6"/>
  <c r="G935" i="6"/>
  <c r="G934" i="6"/>
  <c r="G933" i="6"/>
  <c r="G932" i="6"/>
  <c r="G931" i="6"/>
  <c r="G930" i="6"/>
  <c r="G929" i="6"/>
  <c r="G928" i="6"/>
  <c r="G927" i="6"/>
  <c r="G926" i="6"/>
  <c r="G925" i="6"/>
  <c r="G924" i="6"/>
  <c r="G923" i="6"/>
  <c r="G922" i="6"/>
  <c r="G921" i="6"/>
  <c r="G920" i="6"/>
  <c r="G919" i="6"/>
  <c r="G918" i="6"/>
  <c r="G917" i="6"/>
  <c r="G916" i="6"/>
  <c r="G915" i="6"/>
  <c r="G914" i="6"/>
  <c r="G913" i="6"/>
  <c r="G912" i="6"/>
  <c r="G911" i="6"/>
  <c r="G910" i="6"/>
  <c r="G909" i="6"/>
  <c r="G908" i="6"/>
  <c r="G907" i="6"/>
  <c r="G906" i="6"/>
  <c r="G905" i="6"/>
  <c r="G904" i="6"/>
  <c r="G903" i="6"/>
  <c r="G902" i="6"/>
  <c r="G901" i="6"/>
  <c r="G900" i="6"/>
  <c r="G899" i="6"/>
  <c r="G898" i="6"/>
  <c r="G897" i="6"/>
  <c r="G896" i="6"/>
  <c r="G895" i="6"/>
  <c r="G894" i="6"/>
  <c r="G893" i="6"/>
  <c r="G892" i="6"/>
  <c r="G891" i="6"/>
  <c r="G890" i="6"/>
  <c r="G889" i="6"/>
  <c r="G888" i="6"/>
  <c r="G887" i="6"/>
  <c r="G886" i="6"/>
  <c r="G885" i="6"/>
  <c r="G884" i="6"/>
  <c r="G883" i="6"/>
  <c r="G882" i="6"/>
  <c r="G881" i="6"/>
  <c r="G880" i="6"/>
  <c r="G879" i="6"/>
  <c r="G878" i="6"/>
  <c r="G877" i="6"/>
  <c r="G876" i="6"/>
  <c r="G875" i="6"/>
  <c r="G874" i="6"/>
  <c r="G873" i="6"/>
  <c r="G872" i="6"/>
  <c r="G871" i="6"/>
  <c r="G870" i="6"/>
  <c r="G869" i="6"/>
  <c r="G868" i="6"/>
  <c r="G867" i="6"/>
  <c r="G866" i="6"/>
  <c r="G865" i="6"/>
  <c r="G864" i="6"/>
  <c r="G863" i="6"/>
  <c r="G862" i="6"/>
  <c r="G861" i="6"/>
  <c r="G860" i="6"/>
  <c r="G859" i="6"/>
  <c r="G858" i="6"/>
  <c r="G857" i="6"/>
  <c r="G856" i="6"/>
  <c r="G855" i="6"/>
  <c r="G854" i="6"/>
  <c r="G853" i="6"/>
  <c r="G852" i="6"/>
  <c r="G851" i="6"/>
  <c r="G850" i="6"/>
  <c r="G849" i="6"/>
  <c r="G848" i="6"/>
  <c r="G847" i="6"/>
  <c r="G846" i="6"/>
  <c r="G845" i="6"/>
  <c r="G844" i="6"/>
  <c r="G843" i="6"/>
  <c r="G842" i="6"/>
  <c r="G841" i="6"/>
  <c r="G840" i="6"/>
  <c r="G839" i="6"/>
  <c r="G838" i="6"/>
  <c r="G837" i="6"/>
  <c r="G836" i="6"/>
  <c r="G835" i="6"/>
  <c r="G834" i="6"/>
  <c r="G833" i="6"/>
  <c r="G832" i="6"/>
  <c r="G831" i="6"/>
  <c r="G830" i="6"/>
  <c r="G829" i="6"/>
  <c r="G828" i="6"/>
  <c r="G827" i="6"/>
  <c r="G826" i="6"/>
  <c r="G825" i="6"/>
  <c r="G824" i="6"/>
  <c r="G823" i="6"/>
  <c r="G822" i="6"/>
  <c r="G821" i="6"/>
  <c r="G820" i="6"/>
  <c r="G819" i="6"/>
  <c r="G818" i="6"/>
  <c r="G817" i="6"/>
  <c r="G816" i="6"/>
  <c r="G815" i="6"/>
  <c r="G814" i="6"/>
  <c r="G813" i="6"/>
  <c r="G812" i="6"/>
  <c r="G811" i="6"/>
  <c r="G810" i="6"/>
  <c r="G809" i="6"/>
  <c r="G808" i="6"/>
  <c r="G807" i="6"/>
  <c r="G806" i="6"/>
  <c r="G805" i="6"/>
  <c r="G804" i="6"/>
  <c r="G803" i="6"/>
  <c r="G802" i="6"/>
  <c r="G801" i="6"/>
  <c r="G800" i="6"/>
  <c r="G799" i="6"/>
  <c r="G798" i="6"/>
  <c r="G797" i="6"/>
  <c r="G796" i="6"/>
  <c r="G795" i="6"/>
  <c r="G794" i="6"/>
  <c r="G793" i="6"/>
  <c r="G792" i="6"/>
  <c r="G791" i="6"/>
  <c r="G790" i="6"/>
  <c r="G789" i="6"/>
  <c r="G788" i="6"/>
  <c r="G787" i="6"/>
  <c r="G786" i="6"/>
  <c r="G785" i="6"/>
  <c r="G784" i="6"/>
  <c r="G783" i="6"/>
  <c r="G782" i="6"/>
  <c r="G781" i="6"/>
  <c r="G780" i="6"/>
  <c r="G779" i="6"/>
  <c r="G778" i="6"/>
  <c r="G777" i="6"/>
  <c r="G776" i="6"/>
  <c r="G775" i="6"/>
  <c r="G774" i="6"/>
  <c r="G773" i="6"/>
  <c r="G772" i="6"/>
  <c r="G771" i="6"/>
  <c r="G770" i="6"/>
  <c r="G769" i="6"/>
  <c r="G768" i="6"/>
  <c r="G767" i="6"/>
  <c r="G766" i="6"/>
  <c r="G765" i="6"/>
  <c r="G764" i="6"/>
  <c r="G763" i="6"/>
  <c r="G762" i="6"/>
  <c r="G761" i="6"/>
  <c r="G760" i="6"/>
  <c r="G759" i="6"/>
  <c r="G758" i="6"/>
  <c r="G757" i="6"/>
  <c r="G756" i="6"/>
  <c r="G755" i="6"/>
  <c r="G754" i="6"/>
  <c r="G753" i="6"/>
  <c r="G752" i="6"/>
  <c r="G751" i="6"/>
  <c r="G750" i="6"/>
  <c r="G749" i="6"/>
  <c r="G748" i="6"/>
  <c r="G747" i="6"/>
  <c r="G746" i="6"/>
  <c r="G745" i="6"/>
  <c r="G744" i="6"/>
  <c r="G743" i="6"/>
  <c r="G742" i="6"/>
  <c r="G741" i="6"/>
  <c r="G740" i="6"/>
  <c r="G739" i="6"/>
  <c r="G738" i="6"/>
  <c r="G737" i="6"/>
  <c r="G736" i="6"/>
  <c r="G735" i="6"/>
  <c r="G734" i="6"/>
  <c r="G733" i="6"/>
  <c r="G732" i="6"/>
  <c r="G731" i="6"/>
  <c r="G730" i="6"/>
  <c r="G729" i="6"/>
  <c r="G728" i="6"/>
  <c r="G727" i="6"/>
  <c r="G726" i="6"/>
  <c r="G725" i="6"/>
  <c r="G724" i="6"/>
  <c r="G723" i="6"/>
  <c r="G722" i="6"/>
  <c r="G721" i="6"/>
  <c r="G720" i="6"/>
  <c r="G719" i="6"/>
  <c r="G718" i="6"/>
  <c r="G717" i="6"/>
  <c r="G716" i="6"/>
  <c r="G715" i="6"/>
  <c r="G714" i="6"/>
  <c r="G713" i="6"/>
  <c r="G712" i="6"/>
  <c r="G711" i="6"/>
  <c r="G710" i="6"/>
  <c r="G709" i="6"/>
  <c r="G708" i="6"/>
  <c r="G707" i="6"/>
  <c r="G706" i="6"/>
  <c r="G705" i="6"/>
  <c r="G704" i="6"/>
  <c r="G703" i="6"/>
  <c r="G702" i="6"/>
  <c r="G701" i="6"/>
  <c r="G700" i="6"/>
  <c r="G699" i="6"/>
  <c r="G698" i="6"/>
  <c r="G697" i="6"/>
  <c r="G696" i="6"/>
  <c r="G695" i="6"/>
  <c r="G694" i="6"/>
  <c r="G693" i="6"/>
  <c r="G692" i="6"/>
  <c r="G691" i="6"/>
  <c r="G690" i="6"/>
  <c r="G689" i="6"/>
  <c r="G688" i="6"/>
  <c r="G687" i="6"/>
  <c r="G686" i="6"/>
  <c r="G685" i="6"/>
  <c r="G684" i="6"/>
  <c r="G683" i="6"/>
  <c r="G682" i="6"/>
  <c r="G681" i="6"/>
  <c r="G680" i="6"/>
  <c r="G679" i="6"/>
  <c r="G678" i="6"/>
  <c r="G677" i="6"/>
  <c r="G676" i="6"/>
  <c r="G675" i="6"/>
  <c r="G674" i="6"/>
  <c r="G673" i="6"/>
  <c r="G672" i="6"/>
  <c r="G671" i="6"/>
  <c r="G670" i="6"/>
  <c r="G669" i="6"/>
  <c r="G668" i="6"/>
  <c r="G667" i="6"/>
  <c r="G666" i="6"/>
  <c r="G665" i="6"/>
  <c r="G664" i="6"/>
  <c r="G663" i="6"/>
  <c r="G662" i="6"/>
  <c r="G661" i="6"/>
  <c r="G660" i="6"/>
  <c r="G659" i="6"/>
  <c r="G658" i="6"/>
  <c r="G657" i="6"/>
  <c r="G656" i="6"/>
  <c r="G655" i="6"/>
  <c r="G654" i="6"/>
  <c r="G653" i="6"/>
  <c r="G652" i="6"/>
  <c r="G651" i="6"/>
  <c r="G650" i="6"/>
  <c r="G649" i="6"/>
  <c r="G648" i="6"/>
  <c r="G647" i="6"/>
  <c r="G646" i="6"/>
  <c r="G645" i="6"/>
  <c r="G644" i="6"/>
  <c r="G643" i="6"/>
  <c r="G642" i="6"/>
  <c r="G641" i="6"/>
  <c r="G640" i="6"/>
  <c r="G639" i="6"/>
  <c r="G638" i="6"/>
  <c r="G637" i="6"/>
  <c r="G636" i="6"/>
  <c r="G635" i="6"/>
  <c r="G634" i="6"/>
  <c r="G633" i="6"/>
  <c r="G632" i="6"/>
  <c r="G631" i="6"/>
  <c r="G630" i="6"/>
  <c r="G629" i="6"/>
  <c r="G628" i="6"/>
  <c r="G627" i="6"/>
  <c r="G626" i="6"/>
  <c r="G625" i="6"/>
  <c r="G624" i="6"/>
  <c r="G623" i="6"/>
  <c r="G622" i="6"/>
  <c r="G621" i="6"/>
  <c r="G620" i="6"/>
  <c r="G619" i="6"/>
  <c r="G618" i="6"/>
  <c r="G617" i="6"/>
  <c r="G616" i="6"/>
  <c r="G615" i="6"/>
  <c r="G614" i="6"/>
  <c r="G613" i="6"/>
  <c r="G612" i="6"/>
  <c r="G611" i="6"/>
  <c r="G610" i="6"/>
  <c r="G609" i="6"/>
  <c r="G608" i="6"/>
  <c r="G607" i="6"/>
  <c r="G606" i="6"/>
  <c r="G605" i="6"/>
  <c r="G604" i="6"/>
  <c r="G603" i="6"/>
  <c r="G602" i="6"/>
  <c r="G601" i="6"/>
  <c r="G600" i="6"/>
  <c r="G599" i="6"/>
  <c r="G598" i="6"/>
  <c r="G597" i="6"/>
  <c r="G596" i="6"/>
  <c r="G595" i="6"/>
  <c r="G594" i="6"/>
  <c r="G593" i="6"/>
  <c r="G592" i="6"/>
  <c r="G591" i="6"/>
  <c r="G590" i="6"/>
  <c r="G589" i="6"/>
  <c r="G588" i="6"/>
  <c r="G587" i="6"/>
  <c r="G586" i="6"/>
  <c r="G585" i="6"/>
  <c r="G584" i="6"/>
  <c r="G583" i="6"/>
  <c r="G582" i="6"/>
  <c r="G581" i="6"/>
  <c r="G580" i="6"/>
  <c r="G579" i="6"/>
  <c r="G578" i="6"/>
  <c r="G577" i="6"/>
  <c r="G576" i="6"/>
  <c r="G575" i="6"/>
  <c r="G574" i="6"/>
  <c r="G573" i="6"/>
  <c r="G572" i="6"/>
  <c r="G571" i="6"/>
  <c r="G570" i="6"/>
  <c r="G569" i="6"/>
  <c r="G568" i="6"/>
  <c r="G567" i="6"/>
  <c r="G566" i="6"/>
  <c r="G565" i="6"/>
  <c r="G564" i="6"/>
  <c r="G563" i="6"/>
  <c r="G562" i="6"/>
  <c r="G561" i="6"/>
  <c r="G560" i="6"/>
  <c r="G559" i="6"/>
  <c r="G558" i="6"/>
  <c r="G557" i="6"/>
  <c r="G556" i="6"/>
  <c r="G555" i="6"/>
  <c r="G554" i="6"/>
  <c r="G553" i="6"/>
  <c r="G552" i="6"/>
  <c r="G551" i="6"/>
  <c r="G550" i="6"/>
  <c r="G549" i="6"/>
  <c r="G548" i="6"/>
  <c r="G547" i="6"/>
  <c r="G546" i="6"/>
  <c r="G545" i="6"/>
  <c r="G544" i="6"/>
  <c r="G543" i="6"/>
  <c r="G542" i="6"/>
  <c r="G541" i="6"/>
  <c r="G540" i="6"/>
  <c r="G539" i="6"/>
  <c r="G538" i="6"/>
  <c r="G537" i="6"/>
  <c r="G536" i="6"/>
  <c r="G535" i="6"/>
  <c r="G534" i="6"/>
  <c r="G533" i="6"/>
  <c r="G532" i="6"/>
  <c r="G531" i="6"/>
  <c r="G530" i="6"/>
  <c r="G529" i="6"/>
  <c r="G528" i="6"/>
  <c r="G527" i="6"/>
  <c r="G526" i="6"/>
  <c r="G525" i="6"/>
  <c r="G524" i="6"/>
  <c r="G523" i="6"/>
  <c r="G522" i="6"/>
  <c r="G521" i="6"/>
  <c r="G520" i="6"/>
  <c r="G519" i="6"/>
  <c r="G518" i="6"/>
  <c r="G517" i="6"/>
  <c r="G516" i="6"/>
  <c r="G515" i="6"/>
  <c r="G514" i="6"/>
  <c r="G513" i="6"/>
  <c r="G512" i="6"/>
  <c r="G511" i="6"/>
  <c r="G510" i="6"/>
  <c r="G509" i="6"/>
  <c r="G508" i="6"/>
  <c r="G507" i="6"/>
  <c r="G506" i="6"/>
  <c r="G505" i="6"/>
  <c r="G504" i="6"/>
  <c r="G503" i="6"/>
  <c r="G502" i="6"/>
  <c r="G501" i="6"/>
  <c r="G500" i="6"/>
  <c r="G499" i="6"/>
  <c r="G498" i="6"/>
  <c r="G497" i="6"/>
  <c r="G496" i="6"/>
  <c r="G495" i="6"/>
  <c r="G494" i="6"/>
  <c r="G493" i="6"/>
  <c r="G492" i="6"/>
  <c r="G491" i="6"/>
  <c r="G490" i="6"/>
  <c r="G489" i="6"/>
  <c r="G488" i="6"/>
  <c r="G487" i="6"/>
  <c r="G486" i="6"/>
  <c r="G485" i="6"/>
  <c r="G484" i="6"/>
  <c r="G483" i="6"/>
  <c r="G482" i="6"/>
  <c r="G481" i="6"/>
  <c r="G480" i="6"/>
  <c r="G479" i="6"/>
  <c r="G478" i="6"/>
  <c r="G477" i="6"/>
  <c r="G476" i="6"/>
  <c r="G475" i="6"/>
  <c r="G474" i="6"/>
  <c r="G473" i="6"/>
  <c r="G472" i="6"/>
  <c r="G471" i="6"/>
  <c r="G470" i="6"/>
  <c r="G469" i="6"/>
  <c r="G468" i="6"/>
  <c r="G467" i="6"/>
  <c r="G466" i="6"/>
  <c r="G465" i="6"/>
  <c r="G464" i="6"/>
  <c r="G463" i="6"/>
  <c r="G462" i="6"/>
  <c r="G461" i="6"/>
  <c r="G460" i="6"/>
  <c r="G459" i="6"/>
  <c r="G458" i="6"/>
  <c r="G457" i="6"/>
  <c r="G456" i="6"/>
  <c r="G455" i="6"/>
  <c r="G454" i="6"/>
  <c r="G453" i="6"/>
  <c r="G452" i="6"/>
  <c r="G451" i="6"/>
  <c r="G450" i="6"/>
  <c r="G449" i="6"/>
  <c r="G448" i="6"/>
  <c r="G447" i="6"/>
  <c r="G446" i="6"/>
  <c r="G445" i="6"/>
  <c r="G444" i="6"/>
  <c r="G443" i="6"/>
  <c r="G442" i="6"/>
  <c r="G441" i="6"/>
  <c r="G440" i="6"/>
  <c r="G439" i="6"/>
  <c r="G438" i="6"/>
  <c r="G437" i="6"/>
  <c r="G436" i="6"/>
  <c r="G435" i="6"/>
  <c r="G434" i="6"/>
  <c r="G433" i="6"/>
  <c r="G432" i="6"/>
  <c r="G431" i="6"/>
  <c r="G430" i="6"/>
  <c r="G429" i="6"/>
  <c r="G428" i="6"/>
  <c r="G427" i="6"/>
  <c r="G426" i="6"/>
  <c r="G425" i="6"/>
  <c r="G424" i="6"/>
  <c r="G423" i="6"/>
  <c r="G422" i="6"/>
  <c r="G421" i="6"/>
  <c r="G420" i="6"/>
  <c r="G419" i="6"/>
  <c r="G418" i="6"/>
  <c r="G417" i="6"/>
  <c r="G416" i="6"/>
  <c r="G415" i="6"/>
  <c r="G414" i="6"/>
  <c r="G413" i="6"/>
  <c r="G412" i="6"/>
  <c r="G411" i="6"/>
  <c r="G410" i="6"/>
  <c r="G409" i="6"/>
  <c r="G408" i="6"/>
  <c r="G407" i="6"/>
  <c r="G406" i="6"/>
  <c r="G405" i="6"/>
  <c r="G404" i="6"/>
  <c r="G403" i="6"/>
  <c r="G402" i="6"/>
  <c r="G401" i="6"/>
  <c r="G400" i="6"/>
  <c r="G399" i="6"/>
  <c r="G398" i="6"/>
  <c r="G397" i="6"/>
  <c r="G396" i="6"/>
  <c r="G395" i="6"/>
  <c r="G394" i="6"/>
  <c r="G393" i="6"/>
  <c r="G392" i="6"/>
  <c r="G391" i="6"/>
  <c r="G390" i="6"/>
  <c r="G389" i="6"/>
  <c r="G388" i="6"/>
  <c r="G387" i="6"/>
  <c r="G386" i="6"/>
  <c r="G385" i="6"/>
  <c r="G384" i="6"/>
  <c r="G383" i="6"/>
  <c r="G382" i="6"/>
  <c r="G381" i="6"/>
  <c r="G380" i="6"/>
  <c r="G379" i="6"/>
  <c r="G378" i="6"/>
  <c r="G377" i="6"/>
  <c r="G376" i="6"/>
  <c r="G375" i="6"/>
  <c r="G374" i="6"/>
  <c r="G373" i="6"/>
  <c r="G372" i="6"/>
  <c r="G371" i="6"/>
  <c r="G370" i="6"/>
  <c r="G369" i="6"/>
  <c r="G368" i="6"/>
  <c r="G367" i="6"/>
  <c r="G366" i="6"/>
  <c r="G365" i="6"/>
  <c r="G364" i="6"/>
  <c r="G363" i="6"/>
  <c r="G362" i="6"/>
  <c r="G361" i="6"/>
  <c r="G360" i="6"/>
  <c r="G359" i="6"/>
  <c r="G358" i="6"/>
  <c r="G357" i="6"/>
  <c r="G356" i="6"/>
  <c r="G355" i="6"/>
  <c r="G354" i="6"/>
  <c r="G353" i="6"/>
  <c r="G352" i="6"/>
  <c r="G351" i="6"/>
  <c r="G350" i="6"/>
  <c r="G349" i="6"/>
  <c r="G348" i="6"/>
  <c r="G347" i="6"/>
  <c r="G346" i="6"/>
  <c r="G345" i="6"/>
  <c r="G344" i="6"/>
  <c r="G343" i="6"/>
  <c r="G342" i="6"/>
  <c r="G341" i="6"/>
  <c r="G340" i="6"/>
  <c r="G339" i="6"/>
  <c r="G338" i="6"/>
  <c r="G337" i="6"/>
  <c r="G336" i="6"/>
  <c r="G335" i="6"/>
  <c r="G334" i="6"/>
  <c r="G333" i="6"/>
  <c r="G332" i="6"/>
  <c r="G331" i="6"/>
  <c r="G330" i="6"/>
  <c r="G329" i="6"/>
  <c r="G328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302" i="6"/>
  <c r="G301" i="6"/>
  <c r="G300" i="6"/>
  <c r="G299" i="6"/>
  <c r="G298" i="6"/>
  <c r="G297" i="6"/>
  <c r="G296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8" i="6"/>
  <c r="G9" i="6" s="1"/>
  <c r="G10" i="6" s="1"/>
  <c r="G11" i="6" s="1"/>
  <c r="G12" i="6" s="1"/>
  <c r="G13" i="6" s="1"/>
  <c r="G14" i="6" s="1"/>
  <c r="G15" i="6" s="1"/>
  <c r="G16" i="6" s="1"/>
  <c r="G17" i="6" s="1"/>
  <c r="C4" i="6"/>
  <c r="B2" i="6"/>
  <c r="M71" i="6" l="1"/>
  <c r="N58" i="6"/>
  <c r="N42" i="6"/>
  <c r="N66" i="6"/>
  <c r="N50" i="6"/>
  <c r="N34" i="6"/>
  <c r="N70" i="6"/>
  <c r="N62" i="6"/>
  <c r="N54" i="6"/>
  <c r="N46" i="6"/>
  <c r="N38" i="6"/>
  <c r="N30" i="6"/>
  <c r="M9" i="6"/>
  <c r="L9" i="6"/>
  <c r="N68" i="6"/>
  <c r="N64" i="6"/>
  <c r="N60" i="6"/>
  <c r="N56" i="6"/>
  <c r="N52" i="6"/>
  <c r="N48" i="6"/>
  <c r="N44" i="6"/>
  <c r="N40" i="6"/>
  <c r="N36" i="6"/>
  <c r="N32" i="6"/>
  <c r="N28" i="6"/>
  <c r="N24" i="6"/>
  <c r="M18" i="6"/>
  <c r="M16" i="6"/>
  <c r="M14" i="6"/>
  <c r="M12" i="6"/>
  <c r="M10" i="6"/>
  <c r="M8" i="6"/>
  <c r="M19" i="6"/>
  <c r="M17" i="6"/>
  <c r="M15" i="6"/>
  <c r="M13" i="6"/>
  <c r="M11" i="6"/>
  <c r="L18" i="6"/>
  <c r="L16" i="6"/>
  <c r="L14" i="6"/>
  <c r="L12" i="6"/>
  <c r="L10" i="6"/>
  <c r="L8" i="6"/>
  <c r="L19" i="6"/>
  <c r="L17" i="6"/>
  <c r="L15" i="6"/>
  <c r="L13" i="6"/>
  <c r="L11" i="6"/>
  <c r="N69" i="6"/>
  <c r="N67" i="6"/>
  <c r="N65" i="6"/>
  <c r="N63" i="6"/>
  <c r="N61" i="6"/>
  <c r="N59" i="6"/>
  <c r="N57" i="6"/>
  <c r="N55" i="6"/>
  <c r="N53" i="6"/>
  <c r="N51" i="6"/>
  <c r="N49" i="6"/>
  <c r="N47" i="6"/>
  <c r="N45" i="6"/>
  <c r="N43" i="6"/>
  <c r="N41" i="6"/>
  <c r="N39" i="6"/>
  <c r="N37" i="6"/>
  <c r="N35" i="6"/>
  <c r="N33" i="6"/>
  <c r="N31" i="6"/>
  <c r="N29" i="6"/>
  <c r="N27" i="6"/>
  <c r="M20" i="6" l="1"/>
  <c r="N71" i="6"/>
  <c r="L20" i="6"/>
  <c r="H36" i="2"/>
  <c r="I68" i="4" l="1"/>
  <c r="D68" i="1" l="1"/>
  <c r="E68" i="1"/>
  <c r="F68" i="1"/>
  <c r="G68" i="1"/>
  <c r="C68" i="1"/>
  <c r="M40" i="4"/>
  <c r="B40" i="4"/>
  <c r="Q26" i="1"/>
  <c r="XFD83" i="5" l="1"/>
  <c r="XFD71" i="5"/>
  <c r="XFD59" i="5"/>
  <c r="XFD47" i="5"/>
  <c r="XFD35" i="5"/>
  <c r="XFD72" i="5"/>
  <c r="XFD73" i="5"/>
  <c r="XFD74" i="5"/>
  <c r="XFD75" i="5"/>
  <c r="XFD76" i="5"/>
  <c r="XFD77" i="5"/>
  <c r="XFD78" i="5"/>
  <c r="XFD79" i="5"/>
  <c r="XFD80" i="5"/>
  <c r="XFD81" i="5"/>
  <c r="XFD82" i="5"/>
  <c r="XFD70" i="5"/>
  <c r="F71" i="5" s="1"/>
  <c r="XFD69" i="5"/>
  <c r="XFD68" i="5"/>
  <c r="XFD67" i="5"/>
  <c r="XFD66" i="5"/>
  <c r="XFD65" i="5"/>
  <c r="XFD64" i="5"/>
  <c r="XFD63" i="5"/>
  <c r="XFD62" i="5"/>
  <c r="XFD61" i="5"/>
  <c r="XFD60" i="5"/>
  <c r="XFD58" i="5"/>
  <c r="XFD57" i="5"/>
  <c r="XFD56" i="5"/>
  <c r="XFD55" i="5"/>
  <c r="XFD54" i="5"/>
  <c r="XFD53" i="5"/>
  <c r="XFD52" i="5"/>
  <c r="XFD51" i="5"/>
  <c r="XFD50" i="5"/>
  <c r="XFD49" i="5"/>
  <c r="XFD48" i="5"/>
  <c r="XFD46" i="5"/>
  <c r="F47" i="5" s="1"/>
  <c r="XFD45" i="5"/>
  <c r="XFD44" i="5"/>
  <c r="XFD43" i="5"/>
  <c r="XFD42" i="5"/>
  <c r="XFD41" i="5"/>
  <c r="XFD40" i="5"/>
  <c r="XFD39" i="5"/>
  <c r="XFD38" i="5"/>
  <c r="XFD37" i="5"/>
  <c r="XFD36" i="5"/>
  <c r="XFD34" i="5"/>
  <c r="XFD33" i="5"/>
  <c r="XFD32" i="5"/>
  <c r="XFD31" i="5"/>
  <c r="F32" i="5" s="1"/>
  <c r="XFD30" i="5"/>
  <c r="XFD29" i="5"/>
  <c r="F30" i="5" s="1"/>
  <c r="XFD28" i="5"/>
  <c r="XFD27" i="5"/>
  <c r="F28" i="5" s="1"/>
  <c r="XFD26" i="5"/>
  <c r="XFD25" i="5"/>
  <c r="F26" i="5" s="1"/>
  <c r="XFD24" i="5"/>
  <c r="XFD23" i="5"/>
  <c r="F24" i="5" s="1"/>
  <c r="XFD22" i="5"/>
  <c r="XFD21" i="5"/>
  <c r="XFD20" i="5"/>
  <c r="XFD19" i="5"/>
  <c r="XFD18" i="5"/>
  <c r="XFD17" i="5"/>
  <c r="XFD16" i="5"/>
  <c r="XFD15" i="5"/>
  <c r="XFD14" i="5"/>
  <c r="XFD13" i="5"/>
  <c r="XFD12" i="5"/>
  <c r="B8" i="5"/>
  <c r="B6" i="5"/>
  <c r="R25" i="1"/>
  <c r="R60" i="1" s="1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C11" i="5"/>
  <c r="F11" i="5"/>
  <c r="P24" i="1"/>
  <c r="O59" i="1" s="1"/>
  <c r="R24" i="1"/>
  <c r="R59" i="1" s="1"/>
  <c r="F4" i="5"/>
  <c r="B2" i="5"/>
  <c r="D30" i="2"/>
  <c r="D14" i="2"/>
  <c r="D17" i="2"/>
  <c r="C22" i="1"/>
  <c r="C57" i="1" s="1"/>
  <c r="E16" i="2"/>
  <c r="M19" i="1"/>
  <c r="D16" i="2"/>
  <c r="L19" i="1"/>
  <c r="L54" i="1" s="1"/>
  <c r="D15" i="2"/>
  <c r="L18" i="1"/>
  <c r="L53" i="1" s="1"/>
  <c r="L17" i="1"/>
  <c r="D25" i="2"/>
  <c r="E14" i="1"/>
  <c r="E49" i="1" s="1"/>
  <c r="E24" i="2"/>
  <c r="D13" i="1"/>
  <c r="D24" i="2"/>
  <c r="C13" i="1"/>
  <c r="C48" i="1" s="1"/>
  <c r="D23" i="2"/>
  <c r="C12" i="1"/>
  <c r="D22" i="2"/>
  <c r="C11" i="1"/>
  <c r="C46" i="1" s="1"/>
  <c r="D9" i="2"/>
  <c r="L22" i="1"/>
  <c r="E22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S78" i="1"/>
  <c r="R78" i="1"/>
  <c r="Q78" i="1"/>
  <c r="P78" i="1"/>
  <c r="O78" i="1"/>
  <c r="N78" i="1"/>
  <c r="M78" i="1"/>
  <c r="C78" i="1"/>
  <c r="B78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S68" i="1"/>
  <c r="R68" i="1"/>
  <c r="Q68" i="1"/>
  <c r="P68" i="1"/>
  <c r="O68" i="1"/>
  <c r="N68" i="1"/>
  <c r="M68" i="1"/>
  <c r="L68" i="1"/>
  <c r="J68" i="1"/>
  <c r="I68" i="1"/>
  <c r="H68" i="1"/>
  <c r="B68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S64" i="1"/>
  <c r="Q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S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S62" i="1"/>
  <c r="Q62" i="1"/>
  <c r="P62" i="1"/>
  <c r="O62" i="1"/>
  <c r="N62" i="1"/>
  <c r="M62" i="1"/>
  <c r="L62" i="1"/>
  <c r="B62" i="1"/>
  <c r="S61" i="1"/>
  <c r="O61" i="1"/>
  <c r="N61" i="1"/>
  <c r="M61" i="1"/>
  <c r="L61" i="1"/>
  <c r="K61" i="1"/>
  <c r="J61" i="1"/>
  <c r="I61" i="1"/>
  <c r="H61" i="1"/>
  <c r="G61" i="1"/>
  <c r="F61" i="1"/>
  <c r="E61" i="1"/>
  <c r="D61" i="1"/>
  <c r="B61" i="1"/>
  <c r="S60" i="1"/>
  <c r="Q60" i="1"/>
  <c r="O60" i="1"/>
  <c r="N60" i="1"/>
  <c r="M60" i="1"/>
  <c r="L60" i="1"/>
  <c r="C60" i="1"/>
  <c r="B60" i="1"/>
  <c r="S59" i="1"/>
  <c r="Q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S57" i="1"/>
  <c r="R57" i="1"/>
  <c r="Q57" i="1"/>
  <c r="P57" i="1"/>
  <c r="O57" i="1"/>
  <c r="N57" i="1"/>
  <c r="M57" i="1"/>
  <c r="K57" i="1"/>
  <c r="J57" i="1"/>
  <c r="E57" i="1"/>
  <c r="D57" i="1"/>
  <c r="B57" i="1"/>
  <c r="S56" i="1"/>
  <c r="R56" i="1"/>
  <c r="Q56" i="1"/>
  <c r="P56" i="1"/>
  <c r="O56" i="1"/>
  <c r="N56" i="1"/>
  <c r="M56" i="1"/>
  <c r="L56" i="1"/>
  <c r="K56" i="1"/>
  <c r="J56" i="1"/>
  <c r="I56" i="1"/>
  <c r="E56" i="1"/>
  <c r="D56" i="1"/>
  <c r="C56" i="1"/>
  <c r="B56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S54" i="1"/>
  <c r="R54" i="1"/>
  <c r="Q54" i="1"/>
  <c r="P54" i="1"/>
  <c r="O54" i="1"/>
  <c r="N54" i="1"/>
  <c r="K54" i="1"/>
  <c r="J54" i="1"/>
  <c r="I54" i="1"/>
  <c r="H54" i="1"/>
  <c r="G54" i="1"/>
  <c r="F54" i="1"/>
  <c r="E54" i="1"/>
  <c r="D54" i="1"/>
  <c r="C54" i="1"/>
  <c r="B54" i="1"/>
  <c r="S53" i="1"/>
  <c r="R53" i="1"/>
  <c r="Q53" i="1"/>
  <c r="P53" i="1"/>
  <c r="O53" i="1"/>
  <c r="N53" i="1"/>
  <c r="M53" i="1"/>
  <c r="K53" i="1"/>
  <c r="J53" i="1"/>
  <c r="I53" i="1"/>
  <c r="H53" i="1"/>
  <c r="G53" i="1"/>
  <c r="F53" i="1"/>
  <c r="E53" i="1"/>
  <c r="D53" i="1"/>
  <c r="C53" i="1"/>
  <c r="B53" i="1"/>
  <c r="S52" i="1"/>
  <c r="K52" i="1"/>
  <c r="J52" i="1"/>
  <c r="I52" i="1"/>
  <c r="H52" i="1"/>
  <c r="G52" i="1"/>
  <c r="F52" i="1"/>
  <c r="E52" i="1"/>
  <c r="D52" i="1"/>
  <c r="C52" i="1"/>
  <c r="B52" i="1"/>
  <c r="S51" i="1"/>
  <c r="R51" i="1"/>
  <c r="Q51" i="1"/>
  <c r="P51" i="1"/>
  <c r="O51" i="1"/>
  <c r="N51" i="1"/>
  <c r="L51" i="1"/>
  <c r="K51" i="1"/>
  <c r="J51" i="1"/>
  <c r="I51" i="1"/>
  <c r="H51" i="1"/>
  <c r="G51" i="1"/>
  <c r="F51" i="1"/>
  <c r="E51" i="1"/>
  <c r="B51" i="1"/>
  <c r="S50" i="1"/>
  <c r="R50" i="1"/>
  <c r="Q50" i="1"/>
  <c r="P50" i="1"/>
  <c r="O50" i="1"/>
  <c r="N50" i="1"/>
  <c r="M50" i="1"/>
  <c r="L50" i="1"/>
  <c r="K50" i="1"/>
  <c r="J50" i="1"/>
  <c r="I50" i="1"/>
  <c r="H50" i="1"/>
  <c r="F50" i="1"/>
  <c r="E50" i="1"/>
  <c r="D50" i="1"/>
  <c r="B50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B49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B48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B47" i="1"/>
  <c r="S46" i="1"/>
  <c r="R46" i="1"/>
  <c r="Q46" i="1"/>
  <c r="P46" i="1"/>
  <c r="O46" i="1"/>
  <c r="N46" i="1"/>
  <c r="M46" i="1"/>
  <c r="L46" i="1"/>
  <c r="K46" i="1"/>
  <c r="J46" i="1"/>
  <c r="I46" i="1"/>
  <c r="B46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C47" i="1"/>
  <c r="D42" i="1"/>
  <c r="D78" i="1" s="1"/>
  <c r="D40" i="1"/>
  <c r="D76" i="1" s="1"/>
  <c r="M40" i="1"/>
  <c r="M76" i="1" s="1"/>
  <c r="N40" i="1"/>
  <c r="N76" i="1" s="1"/>
  <c r="E40" i="1"/>
  <c r="E76" i="1" s="1"/>
  <c r="G40" i="1"/>
  <c r="G76" i="1" s="1"/>
  <c r="I40" i="1"/>
  <c r="I76" i="1" s="1"/>
  <c r="Q63" i="1"/>
  <c r="Q61" i="1"/>
  <c r="C26" i="1"/>
  <c r="C61" i="1" s="1"/>
  <c r="C14" i="1"/>
  <c r="C49" i="1" s="1"/>
  <c r="M54" i="1"/>
  <c r="L52" i="1"/>
  <c r="D16" i="1"/>
  <c r="D51" i="1" s="1"/>
  <c r="G15" i="1"/>
  <c r="G50" i="1" s="1"/>
  <c r="D48" i="1"/>
  <c r="B68" i="4"/>
  <c r="B66" i="4"/>
  <c r="B38" i="4"/>
  <c r="C15" i="1" s="1"/>
  <c r="C50" i="1" s="1"/>
  <c r="C16" i="1"/>
  <c r="C51" i="1" s="1"/>
  <c r="C14" i="5" l="1"/>
  <c r="C15" i="5" s="1"/>
  <c r="A15" i="5" s="1"/>
  <c r="A13" i="5"/>
  <c r="F13" i="5"/>
  <c r="F15" i="5"/>
  <c r="F17" i="5"/>
  <c r="F19" i="5"/>
  <c r="F21" i="5"/>
  <c r="F23" i="5"/>
  <c r="F25" i="5"/>
  <c r="F27" i="5"/>
  <c r="F29" i="5"/>
  <c r="F31" i="5"/>
  <c r="F33" i="5"/>
  <c r="F35" i="5"/>
  <c r="F38" i="5"/>
  <c r="F40" i="5"/>
  <c r="F42" i="5"/>
  <c r="F44" i="5"/>
  <c r="F46" i="5"/>
  <c r="F49" i="5"/>
  <c r="F51" i="5"/>
  <c r="F53" i="5"/>
  <c r="F55" i="5"/>
  <c r="F57" i="5"/>
  <c r="F59" i="5"/>
  <c r="F62" i="5"/>
  <c r="F64" i="5"/>
  <c r="F66" i="5"/>
  <c r="F68" i="5"/>
  <c r="F70" i="5"/>
  <c r="F83" i="5"/>
  <c r="F81" i="5"/>
  <c r="F79" i="5"/>
  <c r="F77" i="5"/>
  <c r="F75" i="5"/>
  <c r="F73" i="5"/>
  <c r="F34" i="5"/>
  <c r="F37" i="5"/>
  <c r="F39" i="5"/>
  <c r="F41" i="5"/>
  <c r="F43" i="5"/>
  <c r="F45" i="5"/>
  <c r="F50" i="5"/>
  <c r="F52" i="5"/>
  <c r="F54" i="5"/>
  <c r="F14" i="5"/>
  <c r="F16" i="5"/>
  <c r="F18" i="5"/>
  <c r="F20" i="5"/>
  <c r="F22" i="5"/>
  <c r="F56" i="5"/>
  <c r="F58" i="5"/>
  <c r="F61" i="5"/>
  <c r="F63" i="5"/>
  <c r="F65" i="5"/>
  <c r="F67" i="5"/>
  <c r="F69" i="5"/>
  <c r="F82" i="5"/>
  <c r="F80" i="5"/>
  <c r="F78" i="5"/>
  <c r="F76" i="5"/>
  <c r="F74" i="5"/>
  <c r="F36" i="5"/>
  <c r="F60" i="5"/>
  <c r="F48" i="5"/>
  <c r="F72" i="5"/>
  <c r="F12" i="5"/>
  <c r="XFC12" i="5"/>
  <c r="XFC13" i="5"/>
  <c r="C62" i="1"/>
  <c r="B14" i="5"/>
  <c r="B11" i="5"/>
  <c r="R26" i="1"/>
  <c r="A12" i="5"/>
  <c r="A11" i="5"/>
  <c r="L57" i="1"/>
  <c r="R28" i="1"/>
  <c r="R63" i="1" s="1"/>
  <c r="F84" i="5" l="1"/>
  <c r="F8" i="5"/>
  <c r="I32" i="2" s="1"/>
  <c r="I34" i="2" s="1"/>
  <c r="I36" i="2" s="1"/>
  <c r="I8" i="5"/>
  <c r="A14" i="5"/>
  <c r="XFC14" i="5"/>
  <c r="E14" i="5" s="1"/>
  <c r="B15" i="5"/>
  <c r="E13" i="5"/>
  <c r="E12" i="5"/>
  <c r="C16" i="5"/>
  <c r="XFC15" i="5"/>
  <c r="R27" i="1"/>
  <c r="R62" i="1" s="1"/>
  <c r="R61" i="1"/>
  <c r="E15" i="5" l="1"/>
  <c r="C17" i="5"/>
  <c r="XFC16" i="5"/>
  <c r="B16" i="5"/>
  <c r="A16" i="5"/>
  <c r="R29" i="1"/>
  <c r="R31" i="1"/>
  <c r="I66" i="1" l="1"/>
  <c r="P36" i="1"/>
  <c r="P71" i="1"/>
  <c r="R64" i="1"/>
  <c r="E16" i="5"/>
  <c r="C18" i="5"/>
  <c r="XFC17" i="5"/>
  <c r="B17" i="5"/>
  <c r="A17" i="5"/>
  <c r="E17" i="5" l="1"/>
  <c r="C19" i="5"/>
  <c r="XFC18" i="5"/>
  <c r="B18" i="5"/>
  <c r="A18" i="5"/>
  <c r="E18" i="5" l="1"/>
  <c r="C20" i="5"/>
  <c r="XFC19" i="5"/>
  <c r="A19" i="5"/>
  <c r="B19" i="5"/>
  <c r="E19" i="5" l="1"/>
  <c r="C21" i="5"/>
  <c r="XFC20" i="5"/>
  <c r="B20" i="5"/>
  <c r="A20" i="5"/>
  <c r="E20" i="5" l="1"/>
  <c r="C22" i="5"/>
  <c r="XFC21" i="5"/>
  <c r="B21" i="5"/>
  <c r="A21" i="5"/>
  <c r="E21" i="5" l="1"/>
  <c r="C23" i="5"/>
  <c r="XFC22" i="5"/>
  <c r="B22" i="5"/>
  <c r="A22" i="5"/>
  <c r="E22" i="5" l="1"/>
  <c r="C24" i="5"/>
  <c r="XFC23" i="5"/>
  <c r="A23" i="5"/>
  <c r="B23" i="5"/>
  <c r="E23" i="5" l="1"/>
  <c r="XFC24" i="5"/>
  <c r="C25" i="5"/>
  <c r="B24" i="5"/>
  <c r="A24" i="5"/>
  <c r="E24" i="5" l="1"/>
  <c r="B25" i="5"/>
  <c r="XFC25" i="5"/>
  <c r="C26" i="5"/>
  <c r="A25" i="5"/>
  <c r="E25" i="5" l="1"/>
  <c r="B26" i="5"/>
  <c r="XFC26" i="5"/>
  <c r="C27" i="5"/>
  <c r="A26" i="5"/>
  <c r="E26" i="5" l="1"/>
  <c r="B27" i="5"/>
  <c r="XFC27" i="5"/>
  <c r="A27" i="5"/>
  <c r="C28" i="5"/>
  <c r="E27" i="5" l="1"/>
  <c r="B28" i="5"/>
  <c r="XFC28" i="5"/>
  <c r="A28" i="5"/>
  <c r="C29" i="5"/>
  <c r="E28" i="5" l="1"/>
  <c r="B29" i="5"/>
  <c r="XFC29" i="5"/>
  <c r="A29" i="5"/>
  <c r="C30" i="5"/>
  <c r="E29" i="5" l="1"/>
  <c r="B30" i="5"/>
  <c r="XFC30" i="5"/>
  <c r="A30" i="5"/>
  <c r="C31" i="5"/>
  <c r="E30" i="5" l="1"/>
  <c r="B31" i="5"/>
  <c r="XFC31" i="5"/>
  <c r="A31" i="5"/>
  <c r="C32" i="5"/>
  <c r="E31" i="5" l="1"/>
  <c r="B32" i="5"/>
  <c r="XFC32" i="5"/>
  <c r="A32" i="5"/>
  <c r="C33" i="5"/>
  <c r="E32" i="5" l="1"/>
  <c r="B33" i="5"/>
  <c r="XFC33" i="5"/>
  <c r="A33" i="5"/>
  <c r="C34" i="5"/>
  <c r="E33" i="5" l="1"/>
  <c r="B34" i="5"/>
  <c r="XFC34" i="5"/>
  <c r="A34" i="5"/>
  <c r="C35" i="5"/>
  <c r="E34" i="5" l="1"/>
  <c r="B35" i="5"/>
  <c r="XFC35" i="5"/>
  <c r="A35" i="5"/>
  <c r="C36" i="5"/>
  <c r="E35" i="5" l="1"/>
  <c r="B36" i="5"/>
  <c r="XFC36" i="5"/>
  <c r="A36" i="5"/>
  <c r="C37" i="5"/>
  <c r="E36" i="5" l="1"/>
  <c r="B37" i="5"/>
  <c r="XFC37" i="5"/>
  <c r="A37" i="5"/>
  <c r="C38" i="5"/>
  <c r="E37" i="5" l="1"/>
  <c r="B38" i="5"/>
  <c r="XFC38" i="5"/>
  <c r="A38" i="5"/>
  <c r="C39" i="5"/>
  <c r="E38" i="5" l="1"/>
  <c r="B39" i="5"/>
  <c r="XFC39" i="5"/>
  <c r="A39" i="5"/>
  <c r="C40" i="5"/>
  <c r="E39" i="5" l="1"/>
  <c r="B40" i="5"/>
  <c r="XFC40" i="5"/>
  <c r="A40" i="5"/>
  <c r="C41" i="5"/>
  <c r="E40" i="5" l="1"/>
  <c r="B41" i="5"/>
  <c r="XFC41" i="5"/>
  <c r="A41" i="5"/>
  <c r="C42" i="5"/>
  <c r="E41" i="5" l="1"/>
  <c r="B42" i="5"/>
  <c r="XFC42" i="5"/>
  <c r="A42" i="5"/>
  <c r="C43" i="5"/>
  <c r="E42" i="5" l="1"/>
  <c r="B43" i="5"/>
  <c r="XFC43" i="5"/>
  <c r="A43" i="5"/>
  <c r="C44" i="5"/>
  <c r="E43" i="5" l="1"/>
  <c r="B44" i="5"/>
  <c r="XFC44" i="5"/>
  <c r="C45" i="5"/>
  <c r="A44" i="5"/>
  <c r="E44" i="5" l="1"/>
  <c r="B45" i="5"/>
  <c r="XFC45" i="5"/>
  <c r="A45" i="5"/>
  <c r="C46" i="5"/>
  <c r="E45" i="5" l="1"/>
  <c r="B46" i="5"/>
  <c r="XFC46" i="5"/>
  <c r="A46" i="5"/>
  <c r="C47" i="5"/>
  <c r="E46" i="5" l="1"/>
  <c r="B47" i="5"/>
  <c r="XFC47" i="5"/>
  <c r="A47" i="5"/>
  <c r="C48" i="5"/>
  <c r="E47" i="5" l="1"/>
  <c r="B48" i="5"/>
  <c r="XFC48" i="5"/>
  <c r="A48" i="5"/>
  <c r="C49" i="5"/>
  <c r="E48" i="5" l="1"/>
  <c r="B49" i="5"/>
  <c r="XFC49" i="5"/>
  <c r="A49" i="5"/>
  <c r="C50" i="5"/>
  <c r="E49" i="5" l="1"/>
  <c r="B50" i="5"/>
  <c r="XFC50" i="5"/>
  <c r="A50" i="5"/>
  <c r="C51" i="5"/>
  <c r="E50" i="5" l="1"/>
  <c r="B51" i="5"/>
  <c r="XFC51" i="5"/>
  <c r="A51" i="5"/>
  <c r="C52" i="5"/>
  <c r="E51" i="5" l="1"/>
  <c r="B52" i="5"/>
  <c r="XFC52" i="5"/>
  <c r="A52" i="5"/>
  <c r="C53" i="5"/>
  <c r="E52" i="5" l="1"/>
  <c r="B53" i="5"/>
  <c r="XFC53" i="5"/>
  <c r="A53" i="5"/>
  <c r="C54" i="5"/>
  <c r="E53" i="5" l="1"/>
  <c r="B54" i="5"/>
  <c r="XFC54" i="5"/>
  <c r="A54" i="5"/>
  <c r="C55" i="5"/>
  <c r="E54" i="5" l="1"/>
  <c r="B55" i="5"/>
  <c r="XFC55" i="5"/>
  <c r="A55" i="5"/>
  <c r="C56" i="5"/>
  <c r="E55" i="5" l="1"/>
  <c r="B56" i="5"/>
  <c r="XFC56" i="5"/>
  <c r="A56" i="5"/>
  <c r="C57" i="5"/>
  <c r="E56" i="5" l="1"/>
  <c r="B57" i="5"/>
  <c r="XFC57" i="5"/>
  <c r="A57" i="5"/>
  <c r="C58" i="5"/>
  <c r="E57" i="5" l="1"/>
  <c r="B58" i="5"/>
  <c r="XFC58" i="5"/>
  <c r="A58" i="5"/>
  <c r="C59" i="5"/>
  <c r="E58" i="5" l="1"/>
  <c r="B59" i="5"/>
  <c r="XFC59" i="5"/>
  <c r="A59" i="5"/>
  <c r="C60" i="5"/>
  <c r="E59" i="5" l="1"/>
  <c r="B60" i="5"/>
  <c r="XFC60" i="5"/>
  <c r="A60" i="5"/>
  <c r="C61" i="5"/>
  <c r="E60" i="5" l="1"/>
  <c r="B61" i="5"/>
  <c r="XFC61" i="5"/>
  <c r="A61" i="5"/>
  <c r="C62" i="5"/>
  <c r="E61" i="5" l="1"/>
  <c r="B62" i="5"/>
  <c r="XFC62" i="5"/>
  <c r="A62" i="5"/>
  <c r="C63" i="5"/>
  <c r="E62" i="5" l="1"/>
  <c r="B63" i="5"/>
  <c r="XFC63" i="5"/>
  <c r="A63" i="5"/>
  <c r="C64" i="5"/>
  <c r="E63" i="5" l="1"/>
  <c r="B64" i="5"/>
  <c r="XFC64" i="5"/>
  <c r="A64" i="5"/>
  <c r="C65" i="5"/>
  <c r="E64" i="5" l="1"/>
  <c r="B65" i="5"/>
  <c r="XFC65" i="5"/>
  <c r="A65" i="5"/>
  <c r="C66" i="5"/>
  <c r="E65" i="5" l="1"/>
  <c r="B66" i="5"/>
  <c r="XFC66" i="5"/>
  <c r="A66" i="5"/>
  <c r="C67" i="5"/>
  <c r="E66" i="5" l="1"/>
  <c r="B67" i="5"/>
  <c r="XFC67" i="5"/>
  <c r="A67" i="5"/>
  <c r="C68" i="5"/>
  <c r="E67" i="5" l="1"/>
  <c r="B68" i="5"/>
  <c r="XFC68" i="5"/>
  <c r="A68" i="5"/>
  <c r="C69" i="5"/>
  <c r="E68" i="5" l="1"/>
  <c r="B69" i="5"/>
  <c r="XFC69" i="5"/>
  <c r="A69" i="5"/>
  <c r="C70" i="5"/>
  <c r="E69" i="5" l="1"/>
  <c r="B70" i="5"/>
  <c r="XFC70" i="5"/>
  <c r="A70" i="5"/>
  <c r="C71" i="5"/>
  <c r="E70" i="5" l="1"/>
  <c r="B71" i="5"/>
  <c r="XFC71" i="5"/>
  <c r="A71" i="5"/>
  <c r="C72" i="5"/>
  <c r="E71" i="5" l="1"/>
  <c r="B72" i="5"/>
  <c r="XFC72" i="5"/>
  <c r="A72" i="5"/>
  <c r="C73" i="5"/>
  <c r="E72" i="5" l="1"/>
  <c r="B73" i="5"/>
  <c r="XFC73" i="5"/>
  <c r="A73" i="5"/>
  <c r="C74" i="5"/>
  <c r="E73" i="5" l="1"/>
  <c r="B74" i="5"/>
  <c r="XFC74" i="5"/>
  <c r="A74" i="5"/>
  <c r="C75" i="5"/>
  <c r="E74" i="5" l="1"/>
  <c r="B75" i="5"/>
  <c r="XFC75" i="5"/>
  <c r="A75" i="5"/>
  <c r="C76" i="5"/>
  <c r="E75" i="5" l="1"/>
  <c r="B76" i="5"/>
  <c r="XFC76" i="5"/>
  <c r="A76" i="5"/>
  <c r="C77" i="5"/>
  <c r="E76" i="5" l="1"/>
  <c r="B77" i="5"/>
  <c r="XFC77" i="5"/>
  <c r="A77" i="5"/>
  <c r="C78" i="5"/>
  <c r="E77" i="5" l="1"/>
  <c r="B78" i="5"/>
  <c r="XFC78" i="5"/>
  <c r="A78" i="5"/>
  <c r="C79" i="5"/>
  <c r="E78" i="5" l="1"/>
  <c r="XFC79" i="5"/>
  <c r="C80" i="5"/>
  <c r="B79" i="5"/>
  <c r="A79" i="5"/>
  <c r="E79" i="5" l="1"/>
  <c r="B80" i="5"/>
  <c r="XFC80" i="5"/>
  <c r="A80" i="5"/>
  <c r="C81" i="5"/>
  <c r="E80" i="5" l="1"/>
  <c r="B81" i="5"/>
  <c r="XFC81" i="5"/>
  <c r="C82" i="5"/>
  <c r="A81" i="5"/>
  <c r="E81" i="5" l="1"/>
  <c r="B82" i="5"/>
  <c r="XFC82" i="5"/>
  <c r="A82" i="5"/>
  <c r="C83" i="5"/>
  <c r="E82" i="5" l="1"/>
  <c r="B83" i="5"/>
  <c r="XFC83" i="5"/>
  <c r="E83" i="5" s="1"/>
  <c r="A83" i="5"/>
  <c r="I6" i="5" l="1"/>
  <c r="F6" i="5"/>
  <c r="I38" i="2" l="1"/>
</calcChain>
</file>

<file path=xl/comments1.xml><?xml version="1.0" encoding="utf-8"?>
<comments xmlns="http://schemas.openxmlformats.org/spreadsheetml/2006/main">
  <authors>
    <author>Maria Proiete</author>
  </authors>
  <commentList>
    <comment ref="H10" authorId="0">
      <text>
        <r>
          <rPr>
            <b/>
            <sz val="9"/>
            <color indexed="81"/>
            <rFont val="Tahoma"/>
            <family val="2"/>
          </rPr>
          <t>Maria Proiete:</t>
        </r>
        <r>
          <rPr>
            <sz val="9"/>
            <color indexed="81"/>
            <rFont val="Tahoma"/>
            <family val="2"/>
          </rPr>
          <t xml:space="preserve">
Como existem alguns casos em que os inquilinos não pagam a tempo e a horas e o recibo é emitido noutra data que não a do mês em questão.</t>
        </r>
      </text>
    </comment>
  </commentList>
</comments>
</file>

<file path=xl/comments2.xml><?xml version="1.0" encoding="utf-8"?>
<comments xmlns="http://schemas.openxmlformats.org/spreadsheetml/2006/main">
  <authors>
    <author>Maria Proiete</author>
  </authors>
  <commentList>
    <comment ref="F7" authorId="0">
      <text>
        <r>
          <rPr>
            <b/>
            <sz val="9"/>
            <color indexed="81"/>
            <rFont val="Tahoma"/>
            <family val="2"/>
          </rPr>
          <t>Maria Proiete:</t>
        </r>
        <r>
          <rPr>
            <sz val="9"/>
            <color indexed="81"/>
            <rFont val="Tahoma"/>
            <family val="2"/>
          </rPr>
          <t xml:space="preserve">
Coloque p.f. as receitas, como a renda a positivo e as despesas a negativo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Maria Proiete:</t>
        </r>
        <r>
          <rPr>
            <sz val="9"/>
            <color indexed="81"/>
            <rFont val="Tahoma"/>
            <family val="2"/>
          </rPr>
          <t xml:space="preserve">
Previsão para encargos, é quando um recebimento, que não é receita, como por exemplo a Caução da renda, tem um encargo funturo, isto é que ser devolvido ao inquilino. </t>
        </r>
      </text>
    </comment>
  </commentList>
</comments>
</file>

<file path=xl/sharedStrings.xml><?xml version="1.0" encoding="utf-8"?>
<sst xmlns="http://schemas.openxmlformats.org/spreadsheetml/2006/main" count="337" uniqueCount="247">
  <si>
    <t>Valor da Renda:</t>
  </si>
  <si>
    <t>Retenção na Fonte:</t>
  </si>
  <si>
    <t>Subtotal:</t>
  </si>
  <si>
    <t>IVA:</t>
  </si>
  <si>
    <t>Total a Pagar:</t>
  </si>
  <si>
    <t>REFERENTES AO SENHORIO</t>
  </si>
  <si>
    <t>Nome:</t>
  </si>
  <si>
    <t>Particular</t>
  </si>
  <si>
    <t>Empresa</t>
  </si>
  <si>
    <t>Morada:</t>
  </si>
  <si>
    <t>Localidade:</t>
  </si>
  <si>
    <t>N.º Contribuinte:</t>
  </si>
  <si>
    <t>Código Postal:</t>
  </si>
  <si>
    <t>REFERENTES AO INQUILINO</t>
  </si>
  <si>
    <t>Dados a Colocar</t>
  </si>
  <si>
    <t>Colocar toda a informação relativa à Propriedade; Senhorio e Inquilino</t>
  </si>
  <si>
    <t>Descrição</t>
  </si>
  <si>
    <t>REFERENTES À PROPRIEDADE</t>
  </si>
  <si>
    <t>Freguesia:</t>
  </si>
  <si>
    <t>PARA EFEITOS DE IRS/ IRC:</t>
  </si>
  <si>
    <t>Tipo:</t>
  </si>
  <si>
    <t>Fracção:</t>
  </si>
  <si>
    <t>Classificação A ou A+</t>
  </si>
  <si>
    <t>Sem classificação A ou A+</t>
  </si>
  <si>
    <t>Recibo</t>
  </si>
  <si>
    <t>Contacto:</t>
  </si>
  <si>
    <t>Telefone:</t>
  </si>
  <si>
    <t>CONTACTOS:</t>
  </si>
  <si>
    <t>Telemóvel:</t>
  </si>
  <si>
    <t>e-mail:</t>
  </si>
  <si>
    <t>IBAN:</t>
  </si>
  <si>
    <t>PT</t>
  </si>
  <si>
    <t>Exmos.(s) Senhor(es)</t>
  </si>
  <si>
    <t>V/ N.º Contribuinte</t>
  </si>
  <si>
    <t>Data do Recibo</t>
  </si>
  <si>
    <t>Documento</t>
  </si>
  <si>
    <t>Original</t>
  </si>
  <si>
    <t>Número do Recibo</t>
  </si>
  <si>
    <t>Arrendamento da propriedade sita em:</t>
  </si>
  <si>
    <t>Meses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</si>
  <si>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</si>
  <si>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</si>
  <si>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</si>
  <si>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</si>
  <si>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</si>
  <si>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</si>
  <si>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</si>
  <si>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</si>
  <si>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</si>
  <si>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</si>
  <si>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</si>
  <si>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</si>
  <si>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Questões fiscais:</t>
  </si>
  <si>
    <t>Descritivo:</t>
  </si>
  <si>
    <t>Contactos:</t>
  </si>
  <si>
    <t>N/ IBAN:</t>
  </si>
  <si>
    <t>Duplicado</t>
  </si>
  <si>
    <t>Data do recibo:</t>
  </si>
  <si>
    <t>Conta-Corrente</t>
  </si>
  <si>
    <t>N.º do Recibo</t>
  </si>
  <si>
    <t>N.º do Recibo:</t>
  </si>
  <si>
    <t>Declaração para IRS</t>
  </si>
  <si>
    <t>Declaração que o proprietário deve entregar ao inquilino, para efeiros de IRS (ou IRC se for empresa) até dia 20 de Janeiro do ano seguinte.</t>
  </si>
  <si>
    <t>Nome da Folha</t>
  </si>
  <si>
    <t>DIRECÇÃO GERAL DAS CONTRIBUIÇÕES E IMPOSTOS</t>
  </si>
  <si>
    <t>1 - ANO A QUE OS RENDIMENTOS DIZEM RESPEITO</t>
  </si>
  <si>
    <t>2 - IDENTIFICAÇÃO DA ENTIDADE PAGADORA</t>
  </si>
  <si>
    <t>3 - IDENTIFICAÇÃO DO TITULAR DOS RENDIMENTOS</t>
  </si>
  <si>
    <t>4 - IMPORTÂNCIAS DEVIDAS E IMPOSTO RETIDO</t>
  </si>
  <si>
    <t>Rendimento Tipo:</t>
  </si>
  <si>
    <t>Ano:</t>
  </si>
  <si>
    <t>Data de inicio do contrato:</t>
  </si>
  <si>
    <t>Valor</t>
  </si>
  <si>
    <t>Será exigido uma caução?</t>
  </si>
  <si>
    <t>Caução</t>
  </si>
  <si>
    <t>1.º mês de renda</t>
  </si>
  <si>
    <t>2.º mês de renda</t>
  </si>
  <si>
    <t>3.º mês de renda</t>
  </si>
  <si>
    <t>4.º mês de renda</t>
  </si>
  <si>
    <t>5.º mês de renda</t>
  </si>
  <si>
    <t>6.º mês de renda</t>
  </si>
  <si>
    <t>7.º mês de renda</t>
  </si>
  <si>
    <t>8.º mês de renda</t>
  </si>
  <si>
    <t>9.º mês de renda</t>
  </si>
  <si>
    <t>10.º mês de renda</t>
  </si>
  <si>
    <t>11.º mês de renda</t>
  </si>
  <si>
    <t>12.º mês de renda</t>
  </si>
  <si>
    <t>13.º mês de renda</t>
  </si>
  <si>
    <t>Período</t>
  </si>
  <si>
    <t>É o primeiro recibo emitido, com caução e mais duas rendas?</t>
  </si>
  <si>
    <t>Total</t>
  </si>
  <si>
    <t>Pago pelo Inquilino?</t>
  </si>
  <si>
    <t>Para gerir a Conta-Corrente do Inquilino - Tem que colocar na respectiva coluna  "Sim" quando emite o recibo, e "Sim" quando recebe o pagamento</t>
  </si>
  <si>
    <t>Recibo emitido?</t>
  </si>
  <si>
    <t>NIF:</t>
  </si>
  <si>
    <t>Total dos rendimentos prediais brutos:</t>
  </si>
  <si>
    <t>Redimentos Sujeitos a Retenção na Fonte:</t>
  </si>
  <si>
    <t>Importância Retida:</t>
  </si>
  <si>
    <t>Rendimentos Líquidos:</t>
  </si>
  <si>
    <t>(Assinatura do Senhorio)</t>
  </si>
  <si>
    <t>Referentes ao ano:</t>
  </si>
  <si>
    <t>(Alinea b do n.º1 do Art.º 119 do CIRS e Art.º 120 do CIRC)</t>
  </si>
  <si>
    <t>Índice</t>
  </si>
  <si>
    <t>Desenvolvido por:</t>
  </si>
  <si>
    <t>14.º mês de renda</t>
  </si>
  <si>
    <t>É o primeiro recibo emitido, sem caução e com duas rendas ?</t>
  </si>
  <si>
    <t>Qual o valor da caução?</t>
  </si>
  <si>
    <t>É o primeiro recibo emitido, com caução e mais uma renda ?</t>
  </si>
  <si>
    <t>É o primeiro recibo emitido, sem caução e com uma renda?</t>
  </si>
  <si>
    <t>Será exigido 2 rendas antecipadas?</t>
  </si>
  <si>
    <t>Factor de actualização da renda acumulado desde o inicio do contrato:</t>
  </si>
  <si>
    <t>2.º ano</t>
  </si>
  <si>
    <t>3.º ano</t>
  </si>
  <si>
    <t>4.º ano</t>
  </si>
  <si>
    <t>5.º ano</t>
  </si>
  <si>
    <t>TAXAS DE ACTUALIZAÇÃO:</t>
  </si>
  <si>
    <t>15.º mês de renda</t>
  </si>
  <si>
    <t>16.º mês de renda</t>
  </si>
  <si>
    <t>17.º mês de renda</t>
  </si>
  <si>
    <t>18.º mês de renda</t>
  </si>
  <si>
    <t>19.º mês de renda</t>
  </si>
  <si>
    <t>20.º mês de renda</t>
  </si>
  <si>
    <t>21.º mês de renda</t>
  </si>
  <si>
    <t>22.º mês de renda</t>
  </si>
  <si>
    <t>23.º mês de renda</t>
  </si>
  <si>
    <t>24.º mês de renda</t>
  </si>
  <si>
    <t>25.º mês de renda</t>
  </si>
  <si>
    <t>26.º mês de renda</t>
  </si>
  <si>
    <t>27.º mês de renda</t>
  </si>
  <si>
    <t>28.º mês de renda</t>
  </si>
  <si>
    <t>29.º mês de renda</t>
  </si>
  <si>
    <t>30.º mês de renda</t>
  </si>
  <si>
    <t>31.º mês de renda</t>
  </si>
  <si>
    <t>32.º mês de renda</t>
  </si>
  <si>
    <t>33.º mês de renda</t>
  </si>
  <si>
    <t>34.º mês de renda</t>
  </si>
  <si>
    <t>35.º mês de renda</t>
  </si>
  <si>
    <t>36.º mês de renda</t>
  </si>
  <si>
    <t>37.º mês de renda</t>
  </si>
  <si>
    <t>38.º mês de renda</t>
  </si>
  <si>
    <t>39.º mês de renda</t>
  </si>
  <si>
    <t>40.º mês de renda</t>
  </si>
  <si>
    <t>41.º mês de renda</t>
  </si>
  <si>
    <t>42.º mês de renda</t>
  </si>
  <si>
    <t>43.º mês de renda</t>
  </si>
  <si>
    <t>44.º mês de renda</t>
  </si>
  <si>
    <t>45.º mês de renda</t>
  </si>
  <si>
    <t>46.º mês de renda</t>
  </si>
  <si>
    <t>47.º mês de renda</t>
  </si>
  <si>
    <t>48.º mês de renda</t>
  </si>
  <si>
    <t>49.º mês de renda</t>
  </si>
  <si>
    <t>50.º mês de renda</t>
  </si>
  <si>
    <t>51.º mês de renda</t>
  </si>
  <si>
    <t>52.º mês de renda</t>
  </si>
  <si>
    <t>53.º mês de renda</t>
  </si>
  <si>
    <t>54.º mês de renda</t>
  </si>
  <si>
    <t>55.º mês de renda</t>
  </si>
  <si>
    <t>56.º mês de renda</t>
  </si>
  <si>
    <t>57.º mês de renda</t>
  </si>
  <si>
    <t>58.º mês de renda</t>
  </si>
  <si>
    <t>59.º mês de renda</t>
  </si>
  <si>
    <t>60.º mês de renda</t>
  </si>
  <si>
    <t>61.º mês de renda</t>
  </si>
  <si>
    <t>62.º mês de renda</t>
  </si>
  <si>
    <t>63.º mês de renda</t>
  </si>
  <si>
    <t>64.º mês de renda</t>
  </si>
  <si>
    <t>65.º mês de renda</t>
  </si>
  <si>
    <t>66.º mês de renda</t>
  </si>
  <si>
    <t>67.º mês de renda</t>
  </si>
  <si>
    <t>68.º mês de renda</t>
  </si>
  <si>
    <t>69.º mês de renda</t>
  </si>
  <si>
    <t>70.º mês de renda</t>
  </si>
  <si>
    <t>71.º mês de renda</t>
  </si>
  <si>
    <t>72.º mês de renda</t>
  </si>
  <si>
    <t>6.º ano</t>
  </si>
  <si>
    <t>Assinatura do senhorio(a)</t>
  </si>
  <si>
    <t>Não é o primeiro recibo emitido, mas têm uma renda Adiantada ?</t>
  </si>
  <si>
    <t>Não é o primeiro recibo emitido, mas têm duas rendas Adiantadas ?</t>
  </si>
  <si>
    <t>RETENÇÃO NA FONTE - Nota dos rendimentos devidos e da importância retida</t>
  </si>
  <si>
    <t>Data efectiva</t>
  </si>
  <si>
    <t>Data Prevista</t>
  </si>
  <si>
    <t>É para a emissão do Recibo de Renda (já com o original e Duplicado) - só terá que colocar a data e responder se é o primeiro recibo de renda e se existem ou não rendas adiantadas</t>
  </si>
  <si>
    <t>Contabilização</t>
  </si>
  <si>
    <t>Para contabilizar as receitas de rendas e os gastos com despesas correntes (condomínio/ reparações/impostos) da casa arrendada</t>
  </si>
  <si>
    <t>http://mariaproiete.com</t>
  </si>
  <si>
    <t>Propriedade:</t>
  </si>
  <si>
    <t>Data</t>
  </si>
  <si>
    <t>Tipo Receita/ Gasto</t>
  </si>
  <si>
    <t>Saldo</t>
  </si>
  <si>
    <t>Observações</t>
  </si>
  <si>
    <t>Previsão para Encargos</t>
  </si>
  <si>
    <t>Tipo de Receita/ Gasto</t>
  </si>
  <si>
    <t>Encargo Futuro</t>
  </si>
  <si>
    <t>Renda</t>
  </si>
  <si>
    <t>Juros de Mora na Renda</t>
  </si>
  <si>
    <t>Receita Corrente</t>
  </si>
  <si>
    <t>Receita Extraordinária</t>
  </si>
  <si>
    <t>Indeminização ao Senhorio</t>
  </si>
  <si>
    <t>Indeminização ao Inquilino</t>
  </si>
  <si>
    <t>Gasto Extraordinário</t>
  </si>
  <si>
    <t>Gastos em Reparações</t>
  </si>
  <si>
    <t>Pintura da Propriedade</t>
  </si>
  <si>
    <t>Arranjo das canalizações</t>
  </si>
  <si>
    <t>Arranjo da parte electrica</t>
  </si>
  <si>
    <t>Arranjo do chão</t>
  </si>
  <si>
    <t>Arranjo das paredes</t>
  </si>
  <si>
    <t>Gastos Correntes</t>
  </si>
  <si>
    <t>Prestação do Empréstimo ao Banco</t>
  </si>
  <si>
    <t>Pagamento do Condomínio</t>
  </si>
  <si>
    <t>Jan/Fev</t>
  </si>
  <si>
    <t>Fev/Mar</t>
  </si>
  <si>
    <t>Mar/Abr</t>
  </si>
  <si>
    <t>Abr/Mai</t>
  </si>
  <si>
    <t>Mai/Jun</t>
  </si>
  <si>
    <t>Jun/Jul</t>
  </si>
  <si>
    <t>Jul/Ago</t>
  </si>
  <si>
    <t>Ago/Set</t>
  </si>
  <si>
    <t>Set/Out</t>
  </si>
  <si>
    <t>Out/Nov</t>
  </si>
  <si>
    <t>Nov/Dez</t>
  </si>
  <si>
    <t>Dez/Jan</t>
  </si>
  <si>
    <t>1.º Trimestre</t>
  </si>
  <si>
    <t>2.º Trimestre</t>
  </si>
  <si>
    <t>3.º Trimestre</t>
  </si>
  <si>
    <t>4.º Trimestre</t>
  </si>
  <si>
    <t>1.º Semestre</t>
  </si>
  <si>
    <t>2.º Semestre</t>
  </si>
  <si>
    <t>Anual</t>
  </si>
  <si>
    <t>Pagamento do Saneamento</t>
  </si>
  <si>
    <t>Pagamento do Água</t>
  </si>
  <si>
    <t>Pagamento do Electricidade</t>
  </si>
  <si>
    <t>Pagamento do Gás</t>
  </si>
  <si>
    <t>Pagamento do Internet</t>
  </si>
  <si>
    <t>Pagamento de Seguros</t>
  </si>
  <si>
    <t>Pagamento do IMI</t>
  </si>
  <si>
    <t>Pagamento do Imposto de Selo</t>
  </si>
  <si>
    <t>Gastos com Impostos</t>
  </si>
  <si>
    <t>Total Acumulado</t>
  </si>
  <si>
    <t>Pagamento Comissão Imobiliária</t>
  </si>
  <si>
    <t>Total do Ano Seleccionado (H4)</t>
  </si>
  <si>
    <t>ACRESCENTE OS DADOS QUE ACHAR NECESSÁRIOS NAS TABELAS:</t>
  </si>
  <si>
    <t>Análise geral por Tipo de Receita e Gasto</t>
  </si>
  <si>
    <t>Análise detalheda por Tipo de Descrição de Receita e Gasto</t>
  </si>
  <si>
    <t>Ano Seleccionado (H4)</t>
  </si>
  <si>
    <t>Inserir ou alterar períodos:</t>
  </si>
  <si>
    <t>Com Caução</t>
  </si>
  <si>
    <t>morbeyzita@gmail.com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</si>
</sst>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mm\/yyyy"/>
    <numFmt numFmtId="165" formatCode="###\ ###\ ###"/>
    <numFmt numFmtId="166" formatCode="####\-###"/>
    <numFmt numFmtId="167" formatCode="&quot;+(&quot;###&quot;)&quot;\ ###\ ###\ ###"/>
    <numFmt numFmtId="168" formatCode="&quot;(&quot;0%&quot;)&quot;"/>
    <numFmt numFmtId="169" formatCode="&quot;+ (&quot;###&quot;)&quot;\ ###\ ###\ ###"/>
    <numFmt numFmtId="170" formatCode="0.0000%"/>
    <numFmt numFmtId="171" formatCode="0.0%"/>
    <numFmt numFmtId="172" formatCode="&quot;(&quot;0.0%&quot;)&quot;"/>
    <numFmt numFmtId="173" formatCode="&quot;(à taxa: &quot;0.0%&quot;)&quot;"/>
    <numFmt numFmtId="174" formatCode="#,##0.00\ &quot;€&quot;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Lucida Sans Unicode"/>
      <family val="2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0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hidden="1"/>
    </xf>
    <xf numFmtId="0" fontId="3" fillId="4" borderId="26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5" borderId="27" xfId="0" applyFont="1" applyFill="1" applyBorder="1" applyAlignment="1" applyProtection="1">
      <alignment horizontal="left" vertical="center" indent="1"/>
      <protection hidden="1"/>
    </xf>
    <xf numFmtId="44" fontId="0" fillId="5" borderId="27" xfId="1" applyNumberFormat="1" applyFont="1" applyFill="1" applyBorder="1" applyAlignment="1" applyProtection="1">
      <alignment vertical="center"/>
      <protection hidden="1"/>
    </xf>
    <xf numFmtId="0" fontId="0" fillId="6" borderId="27" xfId="0" applyFont="1" applyFill="1" applyBorder="1" applyAlignment="1" applyProtection="1">
      <alignment horizontal="left" vertical="center" indent="1"/>
      <protection hidden="1"/>
    </xf>
    <xf numFmtId="44" fontId="0" fillId="6" borderId="27" xfId="1" applyNumberFormat="1" applyFont="1" applyFill="1" applyBorder="1" applyAlignment="1" applyProtection="1">
      <alignment vertical="center"/>
      <protection hidden="1"/>
    </xf>
    <xf numFmtId="0" fontId="0" fillId="5" borderId="27" xfId="0" applyFont="1" applyFill="1" applyBorder="1" applyAlignment="1" applyProtection="1">
      <alignment horizontal="left" vertical="center" indent="1"/>
      <protection hidden="1"/>
    </xf>
    <xf numFmtId="14" fontId="0" fillId="6" borderId="27" xfId="0" applyNumberFormat="1" applyFont="1" applyFill="1" applyBorder="1" applyAlignment="1" applyProtection="1">
      <alignment horizontal="center" vertical="center"/>
      <protection hidden="1"/>
    </xf>
    <xf numFmtId="14" fontId="0" fillId="5" borderId="27" xfId="0" applyNumberFormat="1" applyFont="1" applyFill="1" applyBorder="1" applyAlignment="1" applyProtection="1">
      <alignment horizontal="center" vertical="center"/>
      <protection hidden="1"/>
    </xf>
    <xf numFmtId="0" fontId="3" fillId="4" borderId="29" xfId="0" applyFont="1" applyFill="1" applyBorder="1" applyAlignment="1" applyProtection="1">
      <alignment horizontal="left" vertical="center"/>
      <protection hidden="1"/>
    </xf>
    <xf numFmtId="44" fontId="3" fillId="4" borderId="29" xfId="0" applyNumberFormat="1" applyFont="1" applyFill="1" applyBorder="1" applyAlignment="1" applyProtection="1">
      <alignment vertical="center"/>
      <protection hidden="1"/>
    </xf>
    <xf numFmtId="44" fontId="17" fillId="4" borderId="0" xfId="0" applyNumberFormat="1" applyFont="1" applyFill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7" fillId="2" borderId="3" xfId="3" applyFont="1" applyFill="1" applyBorder="1" applyAlignment="1" applyProtection="1">
      <alignment horizontal="center" vertical="center"/>
      <protection locked="0" hidden="1"/>
    </xf>
    <xf numFmtId="14" fontId="0" fillId="2" borderId="0" xfId="0" applyNumberFormat="1" applyFill="1" applyAlignment="1" applyProtection="1">
      <alignment vertical="center"/>
      <protection locked="0" hidden="1"/>
    </xf>
    <xf numFmtId="49" fontId="0" fillId="2" borderId="0" xfId="1" applyNumberFormat="1" applyFont="1" applyFill="1" applyAlignment="1" applyProtection="1">
      <alignment horizontal="right"/>
      <protection locked="0" hidden="1"/>
    </xf>
    <xf numFmtId="0" fontId="4" fillId="0" borderId="0" xfId="0" applyFont="1" applyAlignment="1" applyProtection="1">
      <alignment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165" fontId="0" fillId="0" borderId="0" xfId="0" applyNumberFormat="1" applyBorder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44" fontId="10" fillId="0" borderId="0" xfId="1" applyFont="1" applyBorder="1" applyAlignment="1" applyProtection="1">
      <alignment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44" fontId="0" fillId="0" borderId="0" xfId="1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168" fontId="10" fillId="0" borderId="0" xfId="2" applyNumberFormat="1" applyFont="1" applyBorder="1" applyAlignment="1" applyProtection="1">
      <alignment vertical="center"/>
      <protection hidden="1"/>
    </xf>
    <xf numFmtId="44" fontId="0" fillId="0" borderId="0" xfId="0" applyNumberFormat="1" applyBorder="1" applyAlignment="1" applyProtection="1">
      <alignment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right" vertical="center"/>
      <protection hidden="1"/>
    </xf>
    <xf numFmtId="44" fontId="0" fillId="0" borderId="2" xfId="0" applyNumberFormat="1" applyBorder="1" applyAlignment="1" applyProtection="1">
      <alignment vertical="center"/>
      <protection hidden="1"/>
    </xf>
    <xf numFmtId="0" fontId="0" fillId="0" borderId="9" xfId="0" applyBorder="1" applyAlignment="1" applyProtection="1">
      <alignment vertical="center"/>
      <protection hidden="1"/>
    </xf>
    <xf numFmtId="0" fontId="0" fillId="0" borderId="9" xfId="0" applyBorder="1" applyAlignment="1" applyProtection="1">
      <alignment horizontal="right" vertical="center"/>
      <protection hidden="1"/>
    </xf>
    <xf numFmtId="44" fontId="4" fillId="0" borderId="9" xfId="0" applyNumberFormat="1" applyFont="1" applyBorder="1" applyAlignment="1" applyProtection="1">
      <alignment vertic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10" fillId="0" borderId="0" xfId="0" applyFont="1" applyBorder="1" applyAlignment="1" applyProtection="1">
      <alignment horizontal="right" vertical="center"/>
      <protection hidden="1"/>
    </xf>
    <xf numFmtId="0" fontId="0" fillId="3" borderId="13" xfId="0" applyFill="1" applyBorder="1" applyAlignment="1" applyProtection="1">
      <alignment vertical="center"/>
      <protection hidden="1"/>
    </xf>
    <xf numFmtId="0" fontId="4" fillId="3" borderId="0" xfId="0" applyFont="1" applyFill="1" applyBorder="1" applyAlignment="1" applyProtection="1">
      <alignment vertical="center"/>
      <protection hidden="1"/>
    </xf>
    <xf numFmtId="0" fontId="15" fillId="3" borderId="0" xfId="0" applyFont="1" applyFill="1" applyBorder="1" applyAlignment="1" applyProtection="1">
      <alignment horizontal="right" vertical="center"/>
      <protection hidden="1"/>
    </xf>
    <xf numFmtId="0" fontId="0" fillId="3" borderId="0" xfId="0" applyFill="1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0" fillId="0" borderId="17" xfId="0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4" fillId="0" borderId="0" xfId="0" applyFont="1" applyAlignment="1" applyProtection="1">
      <alignment horizontal="left" indent="1"/>
      <protection hidden="1"/>
    </xf>
    <xf numFmtId="166" fontId="4" fillId="2" borderId="0" xfId="0" applyNumberFormat="1" applyFont="1" applyFill="1" applyAlignment="1" applyProtection="1">
      <alignment horizontal="left" indent="1"/>
      <protection locked="0" hidden="1"/>
    </xf>
    <xf numFmtId="0" fontId="8" fillId="0" borderId="0" xfId="0" applyFont="1" applyProtection="1">
      <protection hidden="1"/>
    </xf>
    <xf numFmtId="0" fontId="4" fillId="2" borderId="0" xfId="0" applyFont="1" applyFill="1" applyAlignment="1" applyProtection="1">
      <alignment horizontal="left" indent="1"/>
      <protection locked="0" hidden="1"/>
    </xf>
    <xf numFmtId="0" fontId="7" fillId="2" borderId="3" xfId="3" applyFont="1" applyFill="1" applyBorder="1" applyAlignment="1" applyProtection="1">
      <alignment horizontal="center"/>
      <protection locked="0" hidden="1"/>
    </xf>
    <xf numFmtId="0" fontId="0" fillId="0" borderId="0" xfId="0" applyAlignment="1" applyProtection="1">
      <alignment horizontal="left" indent="1"/>
      <protection hidden="1"/>
    </xf>
    <xf numFmtId="0" fontId="0" fillId="0" borderId="0" xfId="0" applyFont="1" applyProtection="1">
      <protection hidden="1"/>
    </xf>
    <xf numFmtId="44" fontId="0" fillId="2" borderId="0" xfId="1" applyFont="1" applyFill="1" applyProtection="1">
      <protection locked="0" hidden="1"/>
    </xf>
    <xf numFmtId="0" fontId="4" fillId="0" borderId="0" xfId="0" applyFont="1" applyAlignment="1" applyProtection="1">
      <alignment horizontal="left"/>
      <protection hidden="1"/>
    </xf>
    <xf numFmtId="165" fontId="4" fillId="2" borderId="0" xfId="0" applyNumberFormat="1" applyFont="1" applyFill="1" applyProtection="1">
      <protection locked="0" hidden="1"/>
    </xf>
    <xf numFmtId="0" fontId="0" fillId="0" borderId="0" xfId="0" applyAlignment="1" applyProtection="1">
      <protection hidden="1"/>
    </xf>
    <xf numFmtId="0" fontId="4" fillId="0" borderId="0" xfId="0" applyFont="1" applyAlignment="1" applyProtection="1">
      <protection hidden="1"/>
    </xf>
    <xf numFmtId="44" fontId="4" fillId="0" borderId="0" xfId="1" applyFont="1" applyProtection="1">
      <protection locked="0" hidden="1"/>
    </xf>
    <xf numFmtId="0" fontId="8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44" fontId="4" fillId="0" borderId="0" xfId="1" applyFont="1" applyProtection="1">
      <protection hidden="1"/>
    </xf>
    <xf numFmtId="0" fontId="2" fillId="0" borderId="1" xfId="3" applyAlignment="1" applyProtection="1">
      <alignment vertical="center"/>
      <protection hidden="1"/>
    </xf>
    <xf numFmtId="0" fontId="20" fillId="0" borderId="0" xfId="0" applyFont="1" applyProtection="1">
      <protection hidden="1"/>
    </xf>
    <xf numFmtId="0" fontId="18" fillId="0" borderId="0" xfId="0" applyFont="1" applyAlignment="1" applyProtection="1">
      <alignment horizontal="center"/>
      <protection hidden="1"/>
    </xf>
    <xf numFmtId="0" fontId="19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16" fillId="0" borderId="0" xfId="0" applyFont="1" applyProtection="1">
      <protection hidden="1"/>
    </xf>
    <xf numFmtId="44" fontId="12" fillId="0" borderId="0" xfId="1" applyFont="1" applyAlignment="1" applyProtection="1">
      <alignment horizontal="center"/>
      <protection hidden="1"/>
    </xf>
    <xf numFmtId="0" fontId="2" fillId="0" borderId="1" xfId="3" applyAlignment="1">
      <alignment vertical="center"/>
    </xf>
    <xf numFmtId="0" fontId="9" fillId="0" borderId="0" xfId="4" applyAlignment="1" applyProtection="1">
      <alignment vertical="center"/>
    </xf>
    <xf numFmtId="0" fontId="4" fillId="0" borderId="0" xfId="0" applyFont="1" applyAlignment="1" applyProtection="1">
      <alignment horizontal="right" vertical="center"/>
      <protection hidden="1"/>
    </xf>
    <xf numFmtId="0" fontId="24" fillId="0" borderId="0" xfId="0" applyFont="1" applyAlignment="1">
      <alignment vertical="center"/>
    </xf>
    <xf numFmtId="0" fontId="3" fillId="4" borderId="34" xfId="0" applyFont="1" applyFill="1" applyBorder="1" applyAlignment="1" applyProtection="1">
      <alignment horizontal="center" vertical="center" wrapText="1"/>
      <protection hidden="1"/>
    </xf>
    <xf numFmtId="0" fontId="3" fillId="4" borderId="35" xfId="0" applyFont="1" applyFill="1" applyBorder="1" applyAlignment="1" applyProtection="1">
      <alignment horizontal="center" vertical="center" wrapText="1"/>
      <protection hidden="1"/>
    </xf>
    <xf numFmtId="0" fontId="0" fillId="6" borderId="32" xfId="0" applyFont="1" applyFill="1" applyBorder="1" applyAlignment="1" applyProtection="1">
      <alignment horizontal="center" vertical="center"/>
      <protection locked="0" hidden="1"/>
    </xf>
    <xf numFmtId="0" fontId="0" fillId="6" borderId="36" xfId="0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 hidden="1"/>
    </xf>
    <xf numFmtId="0" fontId="16" fillId="2" borderId="0" xfId="0" applyFont="1" applyFill="1" applyAlignment="1" applyProtection="1">
      <alignment horizontal="center" vertical="center"/>
      <protection locked="0" hidden="1"/>
    </xf>
    <xf numFmtId="0" fontId="0" fillId="5" borderId="27" xfId="0" applyFont="1" applyFill="1" applyBorder="1" applyAlignment="1" applyProtection="1">
      <alignment horizontal="left" vertical="center" indent="1"/>
      <protection hidden="1"/>
    </xf>
    <xf numFmtId="49" fontId="4" fillId="2" borderId="3" xfId="0" applyNumberFormat="1" applyFont="1" applyFill="1" applyBorder="1" applyAlignment="1" applyProtection="1">
      <alignment horizontal="center"/>
      <protection locked="0" hidden="1"/>
    </xf>
    <xf numFmtId="49" fontId="4" fillId="2" borderId="3" xfId="0" applyNumberFormat="1" applyFont="1" applyFill="1" applyBorder="1" applyAlignment="1" applyProtection="1">
      <alignment horizontal="left" indent="1"/>
      <protection locked="0" hidden="1"/>
    </xf>
    <xf numFmtId="0" fontId="13" fillId="0" borderId="0" xfId="0" applyFont="1" applyAlignment="1" applyProtection="1">
      <alignment horizontal="left" vertical="center" indent="5"/>
      <protection hidden="1"/>
    </xf>
    <xf numFmtId="0" fontId="0" fillId="0" borderId="0" xfId="0" applyAlignment="1" applyProtection="1">
      <alignment horizontal="left" vertical="center" indent="5"/>
      <protection hidden="1"/>
    </xf>
    <xf numFmtId="0" fontId="25" fillId="0" borderId="0" xfId="0" applyFont="1" applyAlignment="1" applyProtection="1">
      <alignment horizontal="center"/>
      <protection hidden="1"/>
    </xf>
    <xf numFmtId="44" fontId="0" fillId="0" borderId="0" xfId="0" applyNumberFormat="1" applyAlignment="1" applyProtection="1">
      <alignment vertical="center"/>
      <protection hidden="1"/>
    </xf>
    <xf numFmtId="170" fontId="15" fillId="2" borderId="3" xfId="2" applyNumberFormat="1" applyFont="1" applyFill="1" applyBorder="1" applyProtection="1">
      <protection locked="0" hidden="1"/>
    </xf>
    <xf numFmtId="0" fontId="0" fillId="0" borderId="0" xfId="0" applyAlignment="1" applyProtection="1">
      <alignment horizontal="right"/>
      <protection hidden="1"/>
    </xf>
    <xf numFmtId="172" fontId="26" fillId="0" borderId="0" xfId="2" applyNumberFormat="1" applyFont="1" applyBorder="1" applyAlignment="1" applyProtection="1">
      <alignment vertical="center"/>
      <protection hidden="1"/>
    </xf>
    <xf numFmtId="171" fontId="1" fillId="0" borderId="0" xfId="2" applyNumberFormat="1" applyFont="1" applyProtection="1">
      <protection locked="0"/>
    </xf>
    <xf numFmtId="49" fontId="4" fillId="2" borderId="3" xfId="0" applyNumberFormat="1" applyFont="1" applyFill="1" applyBorder="1" applyAlignment="1" applyProtection="1">
      <protection locked="0" hidden="1"/>
    </xf>
    <xf numFmtId="0" fontId="4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vertical="center"/>
      <protection hidden="1"/>
    </xf>
    <xf numFmtId="0" fontId="0" fillId="0" borderId="0" xfId="0" applyAlignment="1">
      <alignment vertical="center" wrapText="1"/>
    </xf>
    <xf numFmtId="173" fontId="29" fillId="0" borderId="0" xfId="2" applyNumberFormat="1" applyFont="1" applyProtection="1">
      <protection hidden="1"/>
    </xf>
    <xf numFmtId="0" fontId="9" fillId="0" borderId="0" xfId="4" applyAlignment="1" applyProtection="1">
      <alignment vertical="top"/>
    </xf>
    <xf numFmtId="14" fontId="0" fillId="0" borderId="0" xfId="0" applyNumberFormat="1" applyAlignment="1" applyProtection="1">
      <alignment vertical="center"/>
      <protection hidden="1"/>
    </xf>
    <xf numFmtId="14" fontId="2" fillId="0" borderId="1" xfId="3" applyNumberFormat="1" applyAlignment="1" applyProtection="1">
      <alignment vertical="center"/>
      <protection hidden="1"/>
    </xf>
    <xf numFmtId="14" fontId="4" fillId="0" borderId="0" xfId="0" applyNumberFormat="1" applyFont="1" applyAlignment="1" applyProtection="1">
      <alignment vertical="center"/>
      <protection hidden="1"/>
    </xf>
    <xf numFmtId="14" fontId="3" fillId="4" borderId="26" xfId="0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/>
    <xf numFmtId="0" fontId="3" fillId="4" borderId="26" xfId="0" applyFont="1" applyFill="1" applyBorder="1" applyAlignment="1" applyProtection="1">
      <alignment horizontal="center" vertical="center" wrapText="1"/>
      <protection hidden="1"/>
    </xf>
    <xf numFmtId="174" fontId="0" fillId="0" borderId="0" xfId="0" applyNumberFormat="1" applyAlignment="1" applyProtection="1">
      <alignment vertical="center"/>
      <protection hidden="1"/>
    </xf>
    <xf numFmtId="174" fontId="2" fillId="0" borderId="1" xfId="3" applyNumberFormat="1" applyAlignment="1" applyProtection="1">
      <alignment vertical="center"/>
      <protection hidden="1"/>
    </xf>
    <xf numFmtId="174" fontId="3" fillId="4" borderId="26" xfId="0" applyNumberFormat="1" applyFont="1" applyFill="1" applyBorder="1" applyAlignment="1" applyProtection="1">
      <alignment horizontal="center" vertical="center"/>
      <protection hidden="1"/>
    </xf>
    <xf numFmtId="174" fontId="0" fillId="0" borderId="0" xfId="0" applyNumberFormat="1"/>
    <xf numFmtId="174" fontId="3" fillId="4" borderId="34" xfId="0" applyNumberFormat="1" applyFont="1" applyFill="1" applyBorder="1" applyAlignment="1" applyProtection="1">
      <alignment horizontal="center" vertical="center" wrapText="1"/>
      <protection hidden="1"/>
    </xf>
    <xf numFmtId="8" fontId="0" fillId="0" borderId="0" xfId="0" applyNumberFormat="1"/>
    <xf numFmtId="0" fontId="3" fillId="4" borderId="26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 wrapText="1"/>
    </xf>
    <xf numFmtId="174" fontId="3" fillId="4" borderId="26" xfId="0" applyNumberFormat="1" applyFont="1" applyFill="1" applyBorder="1" applyAlignment="1">
      <alignment horizontal="center" vertical="center" wrapText="1"/>
    </xf>
    <xf numFmtId="174" fontId="0" fillId="0" borderId="0" xfId="0" applyNumberForma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8" fontId="0" fillId="0" borderId="0" xfId="0" applyNumberFormat="1" applyProtection="1">
      <protection locked="0"/>
    </xf>
    <xf numFmtId="174" fontId="3" fillId="4" borderId="39" xfId="0" applyNumberFormat="1" applyFont="1" applyFill="1" applyBorder="1" applyAlignment="1">
      <alignment horizontal="center" vertical="center" wrapText="1"/>
    </xf>
    <xf numFmtId="0" fontId="0" fillId="0" borderId="0" xfId="0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Protection="1"/>
    <xf numFmtId="0" fontId="10" fillId="0" borderId="0" xfId="0" applyFont="1" applyBorder="1" applyAlignment="1" applyProtection="1">
      <alignment horizontal="right" vertical="center"/>
      <protection hidden="1"/>
    </xf>
    <xf numFmtId="174" fontId="0" fillId="0" borderId="0" xfId="0" applyNumberFormat="1" applyProtection="1">
      <protection locked="0"/>
    </xf>
    <xf numFmtId="0" fontId="5" fillId="0" borderId="0" xfId="0" applyFont="1" applyAlignment="1" applyProtection="1">
      <alignment vertical="center"/>
      <protection hidden="1"/>
    </xf>
    <xf numFmtId="0" fontId="24" fillId="0" borderId="0" xfId="0" applyFont="1" applyBorder="1" applyAlignment="1" applyProtection="1">
      <alignment horizontal="right" vertical="center"/>
      <protection locked="0"/>
    </xf>
    <xf numFmtId="0" fontId="10" fillId="0" borderId="0" xfId="0" applyFont="1" applyBorder="1" applyAlignment="1" applyProtection="1">
      <alignment horizontal="right" vertical="center"/>
      <protection hidden="1"/>
    </xf>
    <xf numFmtId="0" fontId="0" fillId="5" borderId="32" xfId="0" applyFont="1" applyFill="1" applyBorder="1" applyAlignment="1" applyProtection="1">
      <alignment horizontal="center" vertical="center"/>
      <protection locked="0" hidden="1"/>
    </xf>
    <xf numFmtId="0" fontId="0" fillId="5" borderId="36" xfId="0" applyFont="1" applyFill="1" applyBorder="1" applyAlignment="1" applyProtection="1">
      <alignment horizontal="center" vertical="center"/>
      <protection locked="0" hidden="1"/>
    </xf>
    <xf numFmtId="8" fontId="0" fillId="2" borderId="0" xfId="1" applyNumberFormat="1" applyFont="1" applyFill="1" applyProtection="1">
      <protection locked="0" hidden="1"/>
    </xf>
    <xf numFmtId="0" fontId="15" fillId="0" borderId="0" xfId="0" applyFont="1" applyProtection="1">
      <protection hidden="1"/>
    </xf>
    <xf numFmtId="0" fontId="7" fillId="7" borderId="0" xfId="3" applyFont="1" applyFill="1" applyBorder="1" applyAlignment="1" applyProtection="1">
      <alignment horizontal="center" vertical="center"/>
      <protection locked="0" hidden="1"/>
    </xf>
    <xf numFmtId="14" fontId="0" fillId="6" borderId="27" xfId="0" applyNumberFormat="1" applyFont="1" applyFill="1" applyBorder="1" applyAlignment="1" applyProtection="1">
      <alignment horizontal="center" vertical="center"/>
      <protection locked="0" hidden="1"/>
    </xf>
    <xf numFmtId="14" fontId="0" fillId="5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left"/>
      <protection locked="0" hidden="1"/>
    </xf>
    <xf numFmtId="0" fontId="4" fillId="2" borderId="0" xfId="0" applyFont="1" applyFill="1" applyAlignment="1" applyProtection="1">
      <alignment horizontal="left" indent="1"/>
      <protection locked="0" hidden="1"/>
    </xf>
    <xf numFmtId="0" fontId="2" fillId="0" borderId="1" xfId="3" applyBorder="1" applyAlignment="1" applyProtection="1">
      <alignment horizontal="left"/>
      <protection hidden="1"/>
    </xf>
    <xf numFmtId="0" fontId="0" fillId="0" borderId="4" xfId="0" applyBorder="1" applyAlignment="1" applyProtection="1">
      <alignment horizontal="left" indent="1"/>
      <protection hidden="1"/>
    </xf>
    <xf numFmtId="0" fontId="0" fillId="0" borderId="0" xfId="0" applyAlignment="1" applyProtection="1">
      <alignment horizontal="left" indent="1"/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2" borderId="0" xfId="4" applyFill="1" applyAlignment="1" applyProtection="1">
      <alignment horizontal="left" indent="1"/>
      <protection locked="0" hidden="1"/>
    </xf>
    <xf numFmtId="0" fontId="4" fillId="0" borderId="0" xfId="0" applyFont="1" applyAlignment="1" applyProtection="1">
      <alignment horizontal="left" indent="1"/>
      <protection locked="0" hidden="1"/>
    </xf>
    <xf numFmtId="14" fontId="0" fillId="2" borderId="0" xfId="0" applyNumberFormat="1" applyFill="1" applyAlignment="1" applyProtection="1">
      <alignment horizontal="center" vertical="center"/>
      <protection locked="0" hidden="1"/>
    </xf>
    <xf numFmtId="167" fontId="4" fillId="2" borderId="0" xfId="0" applyNumberFormat="1" applyFont="1" applyFill="1" applyAlignment="1" applyProtection="1">
      <alignment horizontal="left" indent="1"/>
      <protection locked="0" hidden="1"/>
    </xf>
    <xf numFmtId="0" fontId="4" fillId="0" borderId="7" xfId="0" applyFont="1" applyBorder="1" applyAlignment="1" applyProtection="1">
      <alignment horizontal="center" vertical="center"/>
      <protection hidden="1"/>
    </xf>
    <xf numFmtId="169" fontId="15" fillId="3" borderId="0" xfId="0" applyNumberFormat="1" applyFont="1" applyFill="1" applyBorder="1" applyAlignment="1" applyProtection="1">
      <alignment horizontal="center" vertical="center"/>
      <protection hidden="1"/>
    </xf>
    <xf numFmtId="169" fontId="15" fillId="3" borderId="0" xfId="0" applyNumberFormat="1" applyFont="1" applyFill="1" applyBorder="1" applyAlignment="1" applyProtection="1">
      <alignment horizontal="right" vertical="center"/>
      <protection hidden="1"/>
    </xf>
    <xf numFmtId="169" fontId="15" fillId="3" borderId="0" xfId="0" applyNumberFormat="1" applyFont="1" applyFill="1" applyBorder="1" applyAlignment="1" applyProtection="1">
      <alignment horizontal="left" vertical="center" indent="1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10" fillId="0" borderId="0" xfId="0" applyFont="1" applyBorder="1" applyAlignment="1" applyProtection="1">
      <alignment horizontal="left" vertical="center"/>
      <protection hidden="1"/>
    </xf>
    <xf numFmtId="170" fontId="0" fillId="2" borderId="5" xfId="2" applyNumberFormat="1" applyFont="1" applyFill="1" applyBorder="1" applyAlignment="1" applyProtection="1">
      <alignment horizontal="center" vertical="center"/>
      <protection locked="0" hidden="1"/>
    </xf>
    <xf numFmtId="170" fontId="0" fillId="2" borderId="6" xfId="2" applyNumberFormat="1" applyFont="1" applyFill="1" applyBorder="1" applyAlignment="1" applyProtection="1">
      <alignment horizontal="center" vertical="center"/>
      <protection locked="0" hidden="1"/>
    </xf>
    <xf numFmtId="0" fontId="24" fillId="0" borderId="0" xfId="0" applyFont="1" applyAlignment="1" applyProtection="1">
      <alignment horizontal="left" vertical="center" wrapText="1"/>
      <protection hidden="1"/>
    </xf>
    <xf numFmtId="0" fontId="24" fillId="0" borderId="37" xfId="0" applyFont="1" applyBorder="1" applyAlignment="1" applyProtection="1">
      <alignment horizontal="left" vertical="center" wrapText="1"/>
      <protection hidden="1"/>
    </xf>
    <xf numFmtId="0" fontId="24" fillId="0" borderId="0" xfId="0" applyFont="1" applyAlignment="1" applyProtection="1">
      <alignment horizontal="left" vertical="center" wrapText="1" indent="5"/>
      <protection hidden="1"/>
    </xf>
    <xf numFmtId="0" fontId="24" fillId="0" borderId="37" xfId="0" applyFont="1" applyBorder="1" applyAlignment="1" applyProtection="1">
      <alignment horizontal="left" vertical="center" wrapText="1" indent="5"/>
      <protection hidden="1"/>
    </xf>
    <xf numFmtId="164" fontId="6" fillId="0" borderId="8" xfId="0" applyNumberFormat="1" applyFont="1" applyBorder="1" applyAlignment="1" applyProtection="1">
      <alignment horizontal="center" vertical="center"/>
      <protection hidden="1"/>
    </xf>
    <xf numFmtId="0" fontId="21" fillId="0" borderId="33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15" fillId="0" borderId="0" xfId="0" applyFont="1" applyBorder="1" applyAlignment="1" applyProtection="1">
      <alignment horizontal="right" vertical="center"/>
      <protection hidden="1"/>
    </xf>
    <xf numFmtId="165" fontId="12" fillId="0" borderId="8" xfId="0" applyNumberFormat="1" applyFont="1" applyBorder="1" applyAlignment="1" applyProtection="1">
      <alignment horizontal="center" vertical="center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18" xfId="0" applyFont="1" applyBorder="1" applyAlignment="1" applyProtection="1">
      <alignment horizontal="center" vertical="center"/>
      <protection hidden="1"/>
    </xf>
    <xf numFmtId="0" fontId="4" fillId="0" borderId="20" xfId="0" applyFont="1" applyBorder="1" applyAlignment="1" applyProtection="1">
      <alignment horizontal="center" vertical="center"/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14" fontId="12" fillId="0" borderId="21" xfId="0" applyNumberFormat="1" applyFont="1" applyBorder="1" applyAlignment="1" applyProtection="1">
      <alignment horizontal="center" vertical="center"/>
      <protection hidden="1"/>
    </xf>
    <xf numFmtId="14" fontId="12" fillId="0" borderId="23" xfId="0" applyNumberFormat="1" applyFont="1" applyBorder="1" applyAlignment="1" applyProtection="1">
      <alignment horizontal="center" vertical="center"/>
      <protection hidden="1"/>
    </xf>
    <xf numFmtId="14" fontId="12" fillId="0" borderId="22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14" fillId="0" borderId="0" xfId="0" applyFont="1" applyBorder="1" applyAlignment="1" applyProtection="1">
      <alignment horizontal="left" vertical="center"/>
      <protection hidden="1"/>
    </xf>
    <xf numFmtId="0" fontId="0" fillId="0" borderId="24" xfId="0" applyBorder="1" applyAlignment="1" applyProtection="1">
      <alignment horizontal="right" vertical="center"/>
      <protection hidden="1"/>
    </xf>
    <xf numFmtId="14" fontId="0" fillId="5" borderId="30" xfId="0" applyNumberFormat="1" applyFont="1" applyFill="1" applyBorder="1" applyAlignment="1" applyProtection="1">
      <alignment horizontal="center" vertical="center"/>
      <protection locked="0" hidden="1"/>
    </xf>
    <xf numFmtId="14" fontId="0" fillId="5" borderId="31" xfId="0" applyNumberFormat="1" applyFont="1" applyFill="1" applyBorder="1" applyAlignment="1" applyProtection="1">
      <alignment horizontal="center" vertical="center"/>
      <protection locked="0" hidden="1"/>
    </xf>
    <xf numFmtId="14" fontId="0" fillId="5" borderId="32" xfId="0" applyNumberFormat="1" applyFont="1" applyFill="1" applyBorder="1" applyAlignment="1" applyProtection="1">
      <alignment horizontal="center" vertical="center"/>
      <protection locked="0" hidden="1"/>
    </xf>
    <xf numFmtId="0" fontId="0" fillId="5" borderId="38" xfId="0" applyFont="1" applyFill="1" applyBorder="1" applyAlignment="1" applyProtection="1">
      <alignment horizontal="center" vertical="center"/>
      <protection locked="0" hidden="1"/>
    </xf>
    <xf numFmtId="0" fontId="0" fillId="5" borderId="25" xfId="0" applyFont="1" applyFill="1" applyBorder="1" applyAlignment="1" applyProtection="1">
      <alignment horizontal="center" vertical="center"/>
      <protection locked="0" hidden="1"/>
    </xf>
    <xf numFmtId="0" fontId="0" fillId="5" borderId="36" xfId="0" applyFont="1" applyFill="1" applyBorder="1" applyAlignment="1" applyProtection="1">
      <alignment horizontal="center" vertical="center"/>
      <protection locked="0" hidden="1"/>
    </xf>
    <xf numFmtId="167" fontId="0" fillId="0" borderId="0" xfId="0" applyNumberFormat="1" applyAlignment="1" applyProtection="1">
      <alignment horizontal="left" vertical="center"/>
      <protection hidden="1"/>
    </xf>
    <xf numFmtId="0" fontId="0" fillId="5" borderId="29" xfId="0" applyFont="1" applyFill="1" applyBorder="1" applyAlignment="1" applyProtection="1">
      <alignment horizontal="left" vertical="center" indent="1"/>
      <protection hidden="1"/>
    </xf>
    <xf numFmtId="0" fontId="0" fillId="5" borderId="28" xfId="0" applyFont="1" applyFill="1" applyBorder="1" applyAlignment="1" applyProtection="1">
      <alignment horizontal="left" vertical="center" indent="1"/>
      <protection hidden="1"/>
    </xf>
    <xf numFmtId="0" fontId="0" fillId="5" borderId="27" xfId="0" applyFont="1" applyFill="1" applyBorder="1" applyAlignment="1" applyProtection="1">
      <alignment horizontal="left" vertical="center" indent="1"/>
      <protection hidden="1"/>
    </xf>
    <xf numFmtId="14" fontId="0" fillId="5" borderId="30" xfId="0" applyNumberFormat="1" applyFont="1" applyFill="1" applyBorder="1" applyAlignment="1" applyProtection="1">
      <alignment horizontal="center" vertical="center"/>
      <protection hidden="1"/>
    </xf>
    <xf numFmtId="14" fontId="0" fillId="5" borderId="31" xfId="0" applyNumberFormat="1" applyFont="1" applyFill="1" applyBorder="1" applyAlignment="1" applyProtection="1">
      <alignment horizontal="center" vertical="center"/>
      <protection hidden="1"/>
    </xf>
    <xf numFmtId="14" fontId="0" fillId="5" borderId="32" xfId="0" applyNumberFormat="1" applyFont="1" applyFill="1" applyBorder="1" applyAlignment="1" applyProtection="1">
      <alignment horizontal="center" vertical="center"/>
      <protection hidden="1"/>
    </xf>
    <xf numFmtId="0" fontId="17" fillId="4" borderId="25" xfId="0" applyFont="1" applyFill="1" applyBorder="1" applyAlignment="1" applyProtection="1">
      <alignment horizontal="right" vertical="center"/>
      <protection hidden="1"/>
    </xf>
    <xf numFmtId="0" fontId="17" fillId="4" borderId="0" xfId="0" applyFont="1" applyFill="1" applyBorder="1" applyAlignment="1" applyProtection="1">
      <alignment horizontal="right" vertical="center"/>
      <protection hidden="1"/>
    </xf>
    <xf numFmtId="0" fontId="0" fillId="5" borderId="30" xfId="0" applyFont="1" applyFill="1" applyBorder="1" applyAlignment="1" applyProtection="1">
      <alignment horizontal="center" vertical="center"/>
      <protection locked="0" hidden="1"/>
    </xf>
    <xf numFmtId="0" fontId="0" fillId="5" borderId="31" xfId="0" applyFont="1" applyFill="1" applyBorder="1" applyAlignment="1" applyProtection="1">
      <alignment horizontal="center" vertical="center"/>
      <protection locked="0" hidden="1"/>
    </xf>
    <xf numFmtId="0" fontId="0" fillId="5" borderId="32" xfId="0" applyFont="1" applyFill="1" applyBorder="1" applyAlignment="1" applyProtection="1">
      <alignment horizontal="center" vertical="center"/>
      <protection locked="0" hidden="1"/>
    </xf>
    <xf numFmtId="0" fontId="21" fillId="0" borderId="33" xfId="0" applyFont="1" applyBorder="1" applyAlignment="1" applyProtection="1">
      <alignment horizontal="center"/>
      <protection locked="0"/>
    </xf>
    <xf numFmtId="44" fontId="12" fillId="0" borderId="0" xfId="1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left"/>
      <protection hidden="1"/>
    </xf>
    <xf numFmtId="165" fontId="19" fillId="0" borderId="0" xfId="0" applyNumberFormat="1" applyFont="1" applyAlignment="1" applyProtection="1">
      <alignment horizontal="left"/>
      <protection hidden="1"/>
    </xf>
    <xf numFmtId="0" fontId="23" fillId="0" borderId="0" xfId="0" applyFont="1" applyAlignment="1" applyProtection="1">
      <alignment horizontal="center"/>
      <protection hidden="1"/>
    </xf>
    <xf numFmtId="0" fontId="2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14" fontId="30" fillId="0" borderId="0" xfId="3" applyNumberFormat="1" applyFont="1" applyBorder="1" applyAlignment="1" applyProtection="1">
      <alignment horizontal="left" vertical="center"/>
      <protection hidden="1"/>
    </xf>
  </cellXfs>
  <cellStyles count="5">
    <cellStyle name="Cabeçalho 1" xfId="3" builtinId="16"/>
    <cellStyle name="Hiperligação" xfId="4" builtinId="8"/>
    <cellStyle name="Moeda" xfId="1" builtinId="4"/>
    <cellStyle name="Normal" xfId="0" builtinId="0"/>
    <cellStyle name="Percentagem" xfId="2" builtinId="5"/>
  </cellStyles>
  <dxfs count="45">
    <dxf>
      <border outline="0">
        <top style="thin">
          <color theme="4" tint="0.39997558519241921"/>
        </top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</dxf>
    <dxf>
      <border outline="0">
        <top style="thin">
          <color theme="4" tint="0.39997558519241921"/>
        </top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174" formatCode="#,##0.00\ &quot;€&quot;"/>
    </dxf>
    <dxf>
      <numFmt numFmtId="174" formatCode="#,##0.00\ &quot;€&quot;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theme="4" tint="0.39997558519241921"/>
        </top>
      </border>
    </dxf>
    <dxf>
      <border outline="0">
        <bottom style="thick">
          <color theme="0"/>
        </bottom>
      </border>
    </dxf>
    <dxf>
      <protection locked="0" hidden="0"/>
    </dxf>
    <dxf>
      <numFmt numFmtId="19" formatCode="dd/mm/yyyy"/>
      <protection locked="0" hidden="0"/>
    </dxf>
    <dxf>
      <numFmt numFmtId="12" formatCode="#,##0.00\ &quot;€&quot;;[Red]\-#,##0.00\ &quot;€&quot;"/>
    </dxf>
    <dxf>
      <numFmt numFmtId="12" formatCode="#,##0.00\ &quot;€&quot;;[Red]\-#,##0.00\ &quot;€&quot;"/>
      <protection locked="0" hidden="0"/>
    </dxf>
    <dxf>
      <protection locked="1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border outline="0">
        <bottom style="thick">
          <color theme="0"/>
        </bottom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123825</xdr:rowOff>
    </xdr:from>
    <xdr:to>
      <xdr:col>0</xdr:col>
      <xdr:colOff>390525</xdr:colOff>
      <xdr:row>7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95250" y="123825"/>
          <a:ext cx="295275" cy="12573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 b="1"/>
            <a:t>Í</a:t>
          </a:r>
          <a:r>
            <a:rPr lang="pt-PT" sz="1100" b="1" baseline="0"/>
            <a:t> ND I  C E</a:t>
          </a:r>
          <a:endParaRPr lang="pt-PT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47627</xdr:rowOff>
    </xdr:from>
    <xdr:to>
      <xdr:col>0</xdr:col>
      <xdr:colOff>438150</xdr:colOff>
      <xdr:row>7</xdr:row>
      <xdr:rowOff>95251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42875" y="238127"/>
          <a:ext cx="295275" cy="1171574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 b="1"/>
            <a:t>Í</a:t>
          </a:r>
          <a:r>
            <a:rPr lang="pt-PT" sz="1100" b="1" baseline="0"/>
            <a:t> ND I  C E</a:t>
          </a:r>
          <a:endParaRPr lang="pt-PT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381000</xdr:colOff>
      <xdr:row>7</xdr:row>
      <xdr:rowOff>66675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5725" y="19050"/>
          <a:ext cx="295275" cy="12573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 b="1"/>
            <a:t>Í</a:t>
          </a:r>
          <a:r>
            <a:rPr lang="pt-PT" sz="1100" b="1" baseline="0"/>
            <a:t> ND I  C E</a:t>
          </a:r>
          <a:endParaRPr lang="pt-PT" sz="11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19050</xdr:rowOff>
    </xdr:from>
    <xdr:to>
      <xdr:col>0</xdr:col>
      <xdr:colOff>438150</xdr:colOff>
      <xdr:row>6</xdr:row>
      <xdr:rowOff>133350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42875" y="19050"/>
          <a:ext cx="295275" cy="12573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 b="1"/>
            <a:t>Í</a:t>
          </a:r>
          <a:r>
            <a:rPr lang="pt-PT" sz="1100" b="1" baseline="0"/>
            <a:t> ND I  C E</a:t>
          </a:r>
          <a:endParaRPr lang="pt-PT" sz="11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381000</xdr:colOff>
      <xdr:row>6</xdr:row>
      <xdr:rowOff>257175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5725" y="19050"/>
          <a:ext cx="295275" cy="147637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t-PT" sz="1100" b="1"/>
            <a:t>Í</a:t>
          </a:r>
          <a:r>
            <a:rPr lang="pt-PT" sz="1100" b="1" baseline="0"/>
            <a:t> ND I  C E</a:t>
          </a:r>
          <a:endParaRPr lang="pt-PT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2" displayName="Table2" ref="B4:C9" totalsRowShown="0" headerRowDxfId="44" dataDxfId="43">
  <tableColumns count="2">
    <tableColumn id="1" name="Nome da Folha" dataDxfId="42"/>
    <tableColumn id="2" name="Descrição" dataDxfId="4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ela3" displayName="Tabela3" ref="B7:I1000" totalsRowShown="0" headerRowBorderDxfId="27">
  <autoFilter ref="B7:I1000"/>
  <tableColumns count="8">
    <tableColumn id="1" name="Data" dataDxfId="26"/>
    <tableColumn id="2" name="Descrição" dataDxfId="25"/>
    <tableColumn id="3" name="Período" dataDxfId="24"/>
    <tableColumn id="4" name="Tipo de Receita/ Gasto" dataDxfId="23"/>
    <tableColumn id="5" name="Valor" dataDxfId="22"/>
    <tableColumn id="6" name="Saldo" dataDxfId="21"/>
    <tableColumn id="7" name="Previsão para Encargos" dataDxfId="20"/>
    <tableColumn id="8" name="Observações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ela4" displayName="Tabela4" ref="K23:N71" totalsRowCount="1" headerRowBorderDxfId="18" tableBorderDxfId="17">
  <autoFilter ref="K23:N70"/>
  <tableColumns count="4">
    <tableColumn id="1" name="Descrição" totalsRowLabel="Total" dataDxfId="16"/>
    <tableColumn id="3" name="Tipo Receita/ Gasto" dataDxfId="15" totalsRowDxfId="14"/>
    <tableColumn id="4" name="Total Acumulado" totalsRowFunction="sum" dataDxfId="13" totalsRowDxfId="12">
      <calculatedColumnFormula>SUMIF($C$8:$C$1000,Tabela4[[#This Row],[Descrição]],$F$8:$F$1000)</calculatedColumnFormula>
    </tableColumn>
    <tableColumn id="2" name="Ano Seleccionado (H4)" totalsRowFunction="sum" dataDxfId="11" totalsRowDxfId="10">
      <calculatedColumnFormula>SUMIFS($F$8:$F$1000,$A$8:$A$1000,$H$4,$C$8:$C$1000,Tabela4[[#This Row],[Descrição]])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ela6" displayName="Tabela6" ref="K7:M20" totalsRowCount="1" headerRowDxfId="9" headerRowBorderDxfId="8" tableBorderDxfId="7">
  <autoFilter ref="K7:M19"/>
  <tableColumns count="3">
    <tableColumn id="1" name="Tipo Receita/ Gasto" totalsRowLabel="Total"/>
    <tableColumn id="2" name="Total Acumulado" totalsRowFunction="sum" dataDxfId="6" totalsRowDxfId="5">
      <calculatedColumnFormula>SUMIF($E$8:$E$1000,Tabela6[[#This Row],[Tipo Receita/ Gasto]],$F$8:$F$1000)</calculatedColumnFormula>
    </tableColumn>
    <tableColumn id="3" name="Total do Ano Seleccionado (H4)" totalsRowFunction="sum" dataDxfId="4" totalsRowDxfId="3">
      <calculatedColumnFormula>SUMIFS($F$8:$F$1000,$A$8:$A$1000,$H$4,$E$8:$E$1000,Tabela6[[#This Row],[Tipo Receita/ Gasto]])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ela5" displayName="Tabela5" ref="K74:K107" totalsRowShown="0" headerRowDxfId="2" headerRowBorderDxfId="1" tableBorderDxfId="0">
  <autoFilter ref="K74:K107"/>
  <tableColumns count="1">
    <tableColumn id="1" name="Períod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 b="1"/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ariaproiete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orbeyzita@gmail.com" TargetMode="External"/><Relationship Id="rId1" Type="http://schemas.openxmlformats.org/officeDocument/2006/relationships/hyperlink" Target="http://mariaproiete.com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mariaproiete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mariaproiete.com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mariaproiete.com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drawing" Target="../drawings/drawing5.xml"/><Relationship Id="rId7" Type="http://schemas.openxmlformats.org/officeDocument/2006/relationships/table" Target="../tables/table4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mariaproiete.com/" TargetMode="Externa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vmlDrawing" Target="../drawings/vmlDrawing2.vml"/><Relationship Id="rId9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1:D9"/>
  <sheetViews>
    <sheetView showGridLines="0" workbookViewId="0">
      <selection activeCell="D1" sqref="D1:D2"/>
    </sheetView>
  </sheetViews>
  <sheetFormatPr defaultRowHeight="15" x14ac:dyDescent="0.25"/>
  <cols>
    <col min="1" max="1" width="9.140625" style="1"/>
    <col min="2" max="2" width="18.85546875" style="1" customWidth="1"/>
    <col min="3" max="3" width="134.42578125" style="1" bestFit="1" customWidth="1"/>
    <col min="4" max="16384" width="9.140625" style="1"/>
  </cols>
  <sheetData>
    <row r="1" spans="2:4" x14ac:dyDescent="0.25">
      <c r="D1" s="78" t="s">
        <v>103</v>
      </c>
    </row>
    <row r="2" spans="2:4" ht="20.25" thickBot="1" x14ac:dyDescent="0.3">
      <c r="B2" s="75" t="s">
        <v>102</v>
      </c>
      <c r="D2" s="101" t="s">
        <v>184</v>
      </c>
    </row>
    <row r="3" spans="2:4" ht="15.75" thickTop="1" x14ac:dyDescent="0.25"/>
    <row r="4" spans="2:4" ht="18.75" customHeight="1" x14ac:dyDescent="0.25">
      <c r="B4" s="1" t="s">
        <v>63</v>
      </c>
      <c r="C4" s="1" t="s">
        <v>16</v>
      </c>
    </row>
    <row r="5" spans="2:4" ht="37.5" customHeight="1" x14ac:dyDescent="0.25">
      <c r="B5" s="76" t="s">
        <v>14</v>
      </c>
      <c r="C5" s="1" t="s">
        <v>15</v>
      </c>
    </row>
    <row r="6" spans="2:4" ht="37.5" customHeight="1" x14ac:dyDescent="0.25">
      <c r="B6" s="76" t="s">
        <v>24</v>
      </c>
      <c r="C6" s="99" t="s">
        <v>181</v>
      </c>
    </row>
    <row r="7" spans="2:4" ht="37.5" customHeight="1" x14ac:dyDescent="0.25">
      <c r="B7" s="76" t="s">
        <v>58</v>
      </c>
      <c r="C7" s="1" t="s">
        <v>92</v>
      </c>
    </row>
    <row r="8" spans="2:4" ht="37.5" customHeight="1" x14ac:dyDescent="0.25">
      <c r="B8" s="76" t="s">
        <v>61</v>
      </c>
      <c r="C8" s="1" t="s">
        <v>62</v>
      </c>
    </row>
    <row r="9" spans="2:4" ht="37.5" customHeight="1" x14ac:dyDescent="0.25">
      <c r="B9" s="76" t="s">
        <v>182</v>
      </c>
      <c r="C9" s="1" t="s">
        <v>183</v>
      </c>
    </row>
  </sheetData>
  <sheetProtection password="A081" sheet="1" objects="1" scenarios="1"/>
  <hyperlinks>
    <hyperlink ref="B5" location="'Dados a Colocar'!A1" display="Dados a Colocar"/>
    <hyperlink ref="B6" location="Recibo!A1" display="Recibo"/>
    <hyperlink ref="B7" location="'Conta-Corrente'!A1" display="Conta-Corrente"/>
    <hyperlink ref="B8" location="'Declaração para IRS'!A1" display="Declaração para IRS"/>
    <hyperlink ref="D2" r:id="rId1"/>
    <hyperlink ref="B9" location="Contabilização!A1" display="Contabilização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P74"/>
  <sheetViews>
    <sheetView showGridLines="0" workbookViewId="0">
      <selection activeCell="F64" sqref="F64"/>
    </sheetView>
  </sheetViews>
  <sheetFormatPr defaultRowHeight="15" x14ac:dyDescent="0.25"/>
  <cols>
    <col min="1" max="1" width="9.140625" style="51"/>
    <col min="2" max="2" width="3.85546875" style="51" customWidth="1"/>
    <col min="3" max="3" width="4" style="51" customWidth="1"/>
    <col min="4" max="4" width="5.7109375" style="51" customWidth="1"/>
    <col min="5" max="5" width="5.85546875" style="51" customWidth="1"/>
    <col min="6" max="6" width="14.7109375" style="51" customWidth="1"/>
    <col min="7" max="7" width="3.85546875" style="51" customWidth="1"/>
    <col min="8" max="8" width="6.85546875" style="51" customWidth="1"/>
    <col min="9" max="9" width="7.140625" style="51" customWidth="1"/>
    <col min="10" max="10" width="8" style="51" customWidth="1"/>
    <col min="11" max="11" width="7.7109375" style="51" customWidth="1"/>
    <col min="12" max="12" width="9.140625" style="51"/>
    <col min="13" max="13" width="11" style="51" bestFit="1" customWidth="1"/>
    <col min="14" max="16384" width="9.140625" style="51"/>
  </cols>
  <sheetData>
    <row r="1" spans="2:16" x14ac:dyDescent="0.25">
      <c r="P1" s="78" t="s">
        <v>103</v>
      </c>
    </row>
    <row r="2" spans="2:16" ht="20.25" thickBot="1" x14ac:dyDescent="0.35">
      <c r="B2" s="142" t="s">
        <v>17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P2" s="101" t="s">
        <v>184</v>
      </c>
    </row>
    <row r="3" spans="2:16" ht="15.75" thickTop="1" x14ac:dyDescent="0.25"/>
    <row r="4" spans="2:16" x14ac:dyDescent="0.25">
      <c r="B4" s="139" t="s">
        <v>9</v>
      </c>
      <c r="C4" s="139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</row>
    <row r="5" spans="2:16" ht="9" customHeight="1" x14ac:dyDescent="0.25"/>
    <row r="6" spans="2:16" x14ac:dyDescent="0.25">
      <c r="B6" s="139" t="s">
        <v>10</v>
      </c>
      <c r="C6" s="139"/>
      <c r="D6" s="139"/>
      <c r="E6" s="141"/>
      <c r="F6" s="141"/>
      <c r="G6" s="141"/>
      <c r="H6" s="141"/>
      <c r="I6" s="141"/>
      <c r="J6" s="141"/>
      <c r="K6" s="52"/>
    </row>
    <row r="7" spans="2:16" ht="9" customHeight="1" x14ac:dyDescent="0.25"/>
    <row r="8" spans="2:16" x14ac:dyDescent="0.25">
      <c r="B8" s="139" t="s">
        <v>12</v>
      </c>
      <c r="C8" s="139"/>
      <c r="D8" s="139"/>
      <c r="E8" s="139"/>
      <c r="F8" s="53"/>
    </row>
    <row r="9" spans="2:16" ht="9" customHeight="1" x14ac:dyDescent="0.25"/>
    <row r="10" spans="2:16" x14ac:dyDescent="0.25">
      <c r="B10" s="54" t="s">
        <v>19</v>
      </c>
    </row>
    <row r="11" spans="2:16" ht="9" customHeight="1" x14ac:dyDescent="0.25"/>
    <row r="12" spans="2:16" x14ac:dyDescent="0.25">
      <c r="B12" s="139" t="s">
        <v>18</v>
      </c>
      <c r="C12" s="139"/>
      <c r="D12" s="139"/>
      <c r="E12" s="141"/>
      <c r="F12" s="141"/>
      <c r="H12" s="51" t="s">
        <v>20</v>
      </c>
      <c r="I12" s="55"/>
      <c r="J12" s="51" t="s">
        <v>21</v>
      </c>
      <c r="K12" s="55"/>
    </row>
    <row r="14" spans="2:16" x14ac:dyDescent="0.25">
      <c r="B14" s="56"/>
      <c r="C14" s="143" t="s">
        <v>22</v>
      </c>
      <c r="D14" s="144"/>
      <c r="E14" s="144"/>
      <c r="F14" s="144"/>
      <c r="G14" s="56"/>
      <c r="H14" s="57" t="s">
        <v>23</v>
      </c>
    </row>
    <row r="15" spans="2:16" ht="9" customHeight="1" x14ac:dyDescent="0.25"/>
    <row r="16" spans="2:16" x14ac:dyDescent="0.25">
      <c r="B16" s="58" t="s">
        <v>0</v>
      </c>
      <c r="F16" s="134"/>
      <c r="H16" s="51" t="s">
        <v>71</v>
      </c>
      <c r="L16" s="148"/>
      <c r="M16" s="148"/>
    </row>
    <row r="17" spans="2:14" ht="9" customHeight="1" x14ac:dyDescent="0.25"/>
    <row r="18" spans="2:14" x14ac:dyDescent="0.25">
      <c r="B18" s="51" t="s">
        <v>73</v>
      </c>
      <c r="G18" s="16"/>
      <c r="J18" s="58" t="s">
        <v>106</v>
      </c>
      <c r="M18" s="59"/>
    </row>
    <row r="20" spans="2:14" x14ac:dyDescent="0.25">
      <c r="B20" s="51" t="s">
        <v>109</v>
      </c>
      <c r="G20" s="16"/>
      <c r="K20" s="145" t="s">
        <v>115</v>
      </c>
      <c r="L20" s="145"/>
      <c r="M20" s="145"/>
      <c r="N20" s="145"/>
    </row>
    <row r="21" spans="2:14" x14ac:dyDescent="0.25">
      <c r="J21" s="90" t="s">
        <v>111</v>
      </c>
      <c r="K21" s="90" t="s">
        <v>112</v>
      </c>
      <c r="L21" s="90" t="s">
        <v>113</v>
      </c>
      <c r="M21" s="90" t="s">
        <v>114</v>
      </c>
      <c r="N21" s="90" t="s">
        <v>174</v>
      </c>
    </row>
    <row r="22" spans="2:14" x14ac:dyDescent="0.25">
      <c r="J22" s="92"/>
      <c r="K22" s="92"/>
      <c r="L22" s="92"/>
      <c r="M22" s="92"/>
      <c r="N22" s="92"/>
    </row>
    <row r="24" spans="2:14" ht="20.25" thickBot="1" x14ac:dyDescent="0.35">
      <c r="B24" s="142" t="s">
        <v>5</v>
      </c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</row>
    <row r="25" spans="2:14" ht="15.75" thickTop="1" x14ac:dyDescent="0.25"/>
    <row r="26" spans="2:14" x14ac:dyDescent="0.25">
      <c r="B26" s="56"/>
      <c r="C26" s="143" t="s">
        <v>7</v>
      </c>
      <c r="D26" s="144"/>
      <c r="E26" s="144"/>
      <c r="G26" s="56"/>
      <c r="H26" s="143" t="s">
        <v>8</v>
      </c>
      <c r="I26" s="144"/>
      <c r="J26" s="135" t="str">
        <f>IF(B26="X","É isento de Retenção de IRS na Categoria F?","")</f>
        <v/>
      </c>
      <c r="N26" s="136"/>
    </row>
    <row r="27" spans="2:14" ht="9" customHeight="1" x14ac:dyDescent="0.25"/>
    <row r="28" spans="2:14" x14ac:dyDescent="0.25">
      <c r="B28" s="139" t="s">
        <v>6</v>
      </c>
      <c r="C28" s="139"/>
      <c r="D28" s="140"/>
      <c r="E28" s="140"/>
      <c r="F28" s="140"/>
      <c r="G28" s="140"/>
      <c r="H28" s="140"/>
      <c r="I28" s="140"/>
      <c r="J28" s="140"/>
      <c r="K28" s="60"/>
    </row>
    <row r="29" spans="2:14" ht="9" customHeight="1" x14ac:dyDescent="0.25"/>
    <row r="30" spans="2:14" x14ac:dyDescent="0.25">
      <c r="B30" s="139" t="s">
        <v>9</v>
      </c>
      <c r="C30" s="139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</row>
    <row r="31" spans="2:14" ht="9" customHeight="1" x14ac:dyDescent="0.25"/>
    <row r="32" spans="2:14" x14ac:dyDescent="0.25">
      <c r="B32" s="139" t="s">
        <v>10</v>
      </c>
      <c r="C32" s="139"/>
      <c r="D32" s="139"/>
      <c r="E32" s="141"/>
      <c r="F32" s="141"/>
      <c r="G32" s="141"/>
      <c r="H32" s="141"/>
      <c r="I32" s="141"/>
      <c r="J32" s="141"/>
      <c r="K32" s="52"/>
    </row>
    <row r="33" spans="2:15" ht="9" customHeight="1" x14ac:dyDescent="0.25"/>
    <row r="34" spans="2:15" x14ac:dyDescent="0.25">
      <c r="B34" s="139" t="s">
        <v>12</v>
      </c>
      <c r="C34" s="139"/>
      <c r="D34" s="139"/>
      <c r="E34" s="139"/>
      <c r="F34" s="53"/>
    </row>
    <row r="35" spans="2:15" ht="9" customHeight="1" x14ac:dyDescent="0.25"/>
    <row r="36" spans="2:15" x14ac:dyDescent="0.25">
      <c r="B36" s="139" t="s">
        <v>11</v>
      </c>
      <c r="C36" s="139"/>
      <c r="D36" s="139"/>
      <c r="E36" s="139"/>
      <c r="F36" s="61"/>
    </row>
    <row r="37" spans="2:15" ht="9" customHeight="1" x14ac:dyDescent="0.25"/>
    <row r="38" spans="2:15" x14ac:dyDescent="0.25">
      <c r="B38" s="62" t="str">
        <f>IF(G26="X","Matriculada na Conservatória do Registo Comercial de:","")</f>
        <v/>
      </c>
      <c r="C38" s="62"/>
      <c r="D38" s="62"/>
      <c r="E38" s="62"/>
      <c r="F38" s="62"/>
      <c r="J38" s="147"/>
      <c r="K38" s="147"/>
      <c r="L38" s="147"/>
      <c r="M38" s="147"/>
      <c r="N38" s="147"/>
      <c r="O38" s="63"/>
    </row>
    <row r="39" spans="2:15" ht="9" customHeight="1" x14ac:dyDescent="0.25"/>
    <row r="40" spans="2:15" x14ac:dyDescent="0.25">
      <c r="B40" s="139" t="str">
        <f>IF(G26="X","Capital Social:","")</f>
        <v/>
      </c>
      <c r="C40" s="139"/>
      <c r="D40" s="139"/>
      <c r="E40" s="139"/>
      <c r="F40" s="64"/>
      <c r="K40" s="62"/>
      <c r="L40" s="62"/>
      <c r="M40" s="93" t="str">
        <f>IF(G26="X","Taxa IVA: ","")</f>
        <v/>
      </c>
      <c r="N40" s="95"/>
    </row>
    <row r="41" spans="2:15" ht="9" customHeight="1" x14ac:dyDescent="0.25"/>
    <row r="42" spans="2:15" x14ac:dyDescent="0.25">
      <c r="B42" s="65" t="s">
        <v>27</v>
      </c>
      <c r="C42" s="66"/>
      <c r="D42" s="66"/>
      <c r="E42" s="66"/>
      <c r="F42" s="67"/>
    </row>
    <row r="43" spans="2:15" ht="9" customHeight="1" x14ac:dyDescent="0.25"/>
    <row r="44" spans="2:15" x14ac:dyDescent="0.25">
      <c r="B44" s="139" t="s">
        <v>26</v>
      </c>
      <c r="C44" s="139"/>
      <c r="D44" s="139"/>
      <c r="E44" s="149"/>
      <c r="F44" s="149"/>
      <c r="H44" s="66" t="s">
        <v>28</v>
      </c>
      <c r="I44" s="62"/>
      <c r="J44" s="149"/>
      <c r="K44" s="149"/>
      <c r="L44" s="149"/>
    </row>
    <row r="45" spans="2:15" ht="9" customHeight="1" x14ac:dyDescent="0.25"/>
    <row r="46" spans="2:15" x14ac:dyDescent="0.25">
      <c r="B46" s="139" t="s">
        <v>29</v>
      </c>
      <c r="C46" s="139"/>
      <c r="D46" s="146"/>
      <c r="E46" s="141"/>
      <c r="F46" s="141"/>
      <c r="G46" s="141"/>
      <c r="H46" s="141"/>
      <c r="I46" s="141"/>
      <c r="J46" s="141"/>
      <c r="K46" s="141"/>
      <c r="L46" s="141"/>
      <c r="M46" s="141"/>
      <c r="N46" s="141"/>
    </row>
    <row r="47" spans="2:15" ht="9" customHeight="1" x14ac:dyDescent="0.25"/>
    <row r="48" spans="2:15" x14ac:dyDescent="0.25">
      <c r="B48" s="65" t="s">
        <v>30</v>
      </c>
      <c r="C48" s="66"/>
      <c r="E48" s="52"/>
      <c r="F48" s="52"/>
      <c r="G48" s="52"/>
      <c r="H48" s="52"/>
      <c r="I48" s="52"/>
      <c r="J48" s="52"/>
      <c r="K48" s="52"/>
      <c r="L48" s="52"/>
      <c r="M48" s="52"/>
      <c r="N48" s="52"/>
    </row>
    <row r="49" spans="2:14" ht="9" customHeight="1" x14ac:dyDescent="0.25"/>
    <row r="50" spans="2:14" x14ac:dyDescent="0.25">
      <c r="B50" s="97" t="s">
        <v>31</v>
      </c>
      <c r="C50" s="97">
        <v>50</v>
      </c>
      <c r="D50" s="96"/>
      <c r="E50" s="86"/>
      <c r="F50" s="87"/>
      <c r="G50" s="87"/>
      <c r="H50" s="52"/>
      <c r="N50" s="52"/>
    </row>
    <row r="52" spans="2:14" ht="20.25" thickBot="1" x14ac:dyDescent="0.35">
      <c r="B52" s="142" t="s">
        <v>13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</row>
    <row r="53" spans="2:14" ht="15.75" thickTop="1" x14ac:dyDescent="0.25"/>
    <row r="54" spans="2:14" x14ac:dyDescent="0.25">
      <c r="B54" s="56"/>
      <c r="C54" s="57" t="s">
        <v>7</v>
      </c>
      <c r="D54" s="57"/>
      <c r="E54" s="57"/>
      <c r="G54" s="56"/>
      <c r="H54" s="57" t="s">
        <v>8</v>
      </c>
      <c r="I54" s="57"/>
    </row>
    <row r="55" spans="2:14" ht="9" customHeight="1" x14ac:dyDescent="0.25"/>
    <row r="56" spans="2:14" x14ac:dyDescent="0.25">
      <c r="B56" s="139" t="s">
        <v>6</v>
      </c>
      <c r="C56" s="139"/>
      <c r="D56" s="140"/>
      <c r="E56" s="140"/>
      <c r="F56" s="140"/>
      <c r="G56" s="140"/>
      <c r="H56" s="140"/>
      <c r="I56" s="140"/>
      <c r="J56" s="140"/>
      <c r="K56" s="60"/>
    </row>
    <row r="57" spans="2:14" ht="9" customHeight="1" x14ac:dyDescent="0.25"/>
    <row r="58" spans="2:14" x14ac:dyDescent="0.25">
      <c r="B58" s="139" t="s">
        <v>9</v>
      </c>
      <c r="C58" s="139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</row>
    <row r="59" spans="2:14" ht="9" customHeight="1" x14ac:dyDescent="0.25"/>
    <row r="60" spans="2:14" x14ac:dyDescent="0.25">
      <c r="B60" s="139" t="s">
        <v>10</v>
      </c>
      <c r="C60" s="139"/>
      <c r="D60" s="139"/>
      <c r="E60" s="141"/>
      <c r="F60" s="141"/>
      <c r="G60" s="141"/>
      <c r="H60" s="141"/>
      <c r="I60" s="141"/>
      <c r="J60" s="141"/>
      <c r="K60" s="52"/>
    </row>
    <row r="61" spans="2:14" ht="9" customHeight="1" x14ac:dyDescent="0.25"/>
    <row r="62" spans="2:14" x14ac:dyDescent="0.25">
      <c r="B62" s="139" t="s">
        <v>12</v>
      </c>
      <c r="C62" s="139"/>
      <c r="D62" s="139"/>
      <c r="E62" s="139"/>
      <c r="F62" s="53"/>
    </row>
    <row r="63" spans="2:14" ht="9" customHeight="1" x14ac:dyDescent="0.25"/>
    <row r="64" spans="2:14" x14ac:dyDescent="0.25">
      <c r="B64" s="139" t="s">
        <v>11</v>
      </c>
      <c r="C64" s="139"/>
      <c r="D64" s="139"/>
      <c r="E64" s="139"/>
      <c r="F64" s="61"/>
    </row>
    <row r="65" spans="2:15" ht="9" customHeight="1" x14ac:dyDescent="0.25"/>
    <row r="66" spans="2:15" x14ac:dyDescent="0.25">
      <c r="B66" s="62" t="str">
        <f>IF(G54="X","Matriculada na Conservatória do Registo Comercial de:","")</f>
        <v/>
      </c>
      <c r="C66" s="62"/>
      <c r="D66" s="62"/>
      <c r="E66" s="62"/>
      <c r="F66" s="62"/>
      <c r="J66" s="147"/>
      <c r="K66" s="147"/>
      <c r="L66" s="147"/>
      <c r="M66" s="147"/>
      <c r="N66" s="147"/>
      <c r="O66" s="63"/>
    </row>
    <row r="67" spans="2:15" ht="9" customHeight="1" x14ac:dyDescent="0.25"/>
    <row r="68" spans="2:15" x14ac:dyDescent="0.25">
      <c r="B68" s="139" t="str">
        <f>IF(G54="X","Capital Social:","")</f>
        <v/>
      </c>
      <c r="C68" s="139"/>
      <c r="D68" s="139"/>
      <c r="E68" s="139"/>
      <c r="F68" s="64"/>
      <c r="I68" s="93" t="str">
        <f>IF(G54="X","Taxa Retenção: ","")</f>
        <v/>
      </c>
      <c r="J68" s="95"/>
    </row>
    <row r="69" spans="2:15" ht="9" customHeight="1" x14ac:dyDescent="0.25"/>
    <row r="70" spans="2:15" x14ac:dyDescent="0.25">
      <c r="B70" s="65" t="s">
        <v>27</v>
      </c>
      <c r="C70" s="66"/>
      <c r="D70" s="66"/>
      <c r="E70" s="66"/>
      <c r="F70" s="67"/>
    </row>
    <row r="71" spans="2:15" ht="9" customHeight="1" x14ac:dyDescent="0.25"/>
    <row r="72" spans="2:15" x14ac:dyDescent="0.25">
      <c r="B72" s="139" t="s">
        <v>26</v>
      </c>
      <c r="C72" s="139"/>
      <c r="D72" s="139"/>
      <c r="E72" s="149">
        <v>351918555843</v>
      </c>
      <c r="F72" s="149"/>
      <c r="H72" s="66" t="s">
        <v>28</v>
      </c>
      <c r="I72" s="62"/>
      <c r="J72" s="149">
        <v>351967114028</v>
      </c>
      <c r="K72" s="149"/>
      <c r="L72" s="149"/>
    </row>
    <row r="73" spans="2:15" ht="9" customHeight="1" x14ac:dyDescent="0.25"/>
    <row r="74" spans="2:15" x14ac:dyDescent="0.25">
      <c r="B74" s="139" t="s">
        <v>29</v>
      </c>
      <c r="C74" s="139"/>
      <c r="D74" s="146" t="s">
        <v>246</v>
      </c>
      <c r="E74" s="141"/>
      <c r="F74" s="141"/>
      <c r="G74" s="141"/>
      <c r="H74" s="141"/>
      <c r="I74" s="141"/>
      <c r="J74" s="141"/>
      <c r="K74" s="141"/>
      <c r="L74" s="141"/>
      <c r="M74" s="141"/>
      <c r="N74" s="141"/>
    </row>
  </sheetData>
  <sheetProtection insertHyperlinks="0" selectLockedCells="1"/>
  <mergeCells count="45">
    <mergeCell ref="B74:C74"/>
    <mergeCell ref="D74:N74"/>
    <mergeCell ref="J38:N38"/>
    <mergeCell ref="J66:N66"/>
    <mergeCell ref="L16:M16"/>
    <mergeCell ref="J44:L44"/>
    <mergeCell ref="B46:C46"/>
    <mergeCell ref="D46:N46"/>
    <mergeCell ref="B72:D72"/>
    <mergeCell ref="E72:F72"/>
    <mergeCell ref="J72:L72"/>
    <mergeCell ref="B24:N24"/>
    <mergeCell ref="B52:N52"/>
    <mergeCell ref="E44:F44"/>
    <mergeCell ref="B44:D44"/>
    <mergeCell ref="B68:E68"/>
    <mergeCell ref="B2:N2"/>
    <mergeCell ref="B60:D60"/>
    <mergeCell ref="E60:J60"/>
    <mergeCell ref="B62:E62"/>
    <mergeCell ref="B64:E64"/>
    <mergeCell ref="B4:C4"/>
    <mergeCell ref="B6:D6"/>
    <mergeCell ref="E6:J6"/>
    <mergeCell ref="B8:E8"/>
    <mergeCell ref="D4:N4"/>
    <mergeCell ref="B12:D12"/>
    <mergeCell ref="E12:F12"/>
    <mergeCell ref="C26:E26"/>
    <mergeCell ref="H26:I26"/>
    <mergeCell ref="C14:F14"/>
    <mergeCell ref="K20:N20"/>
    <mergeCell ref="B40:E40"/>
    <mergeCell ref="D28:J28"/>
    <mergeCell ref="B56:C56"/>
    <mergeCell ref="D56:J56"/>
    <mergeCell ref="B58:C58"/>
    <mergeCell ref="D30:N30"/>
    <mergeCell ref="D58:N58"/>
    <mergeCell ref="E32:J32"/>
    <mergeCell ref="B28:C28"/>
    <mergeCell ref="B30:C30"/>
    <mergeCell ref="B32:D32"/>
    <mergeCell ref="B34:E34"/>
    <mergeCell ref="B36:E36"/>
  </mergeCells>
  <conditionalFormatting sqref="J38:N38">
    <cfRule type="expression" dxfId="40" priority="7">
      <formula>B38&lt;&gt;""</formula>
    </cfRule>
  </conditionalFormatting>
  <conditionalFormatting sqref="J66:N66">
    <cfRule type="expression" dxfId="39" priority="6">
      <formula>$B66&lt;&gt;""</formula>
    </cfRule>
  </conditionalFormatting>
  <conditionalFormatting sqref="F68">
    <cfRule type="expression" dxfId="38" priority="5">
      <formula>$B68&lt;&gt;""</formula>
    </cfRule>
  </conditionalFormatting>
  <conditionalFormatting sqref="F40">
    <cfRule type="expression" dxfId="37" priority="4">
      <formula>$B40&lt;&gt;""</formula>
    </cfRule>
  </conditionalFormatting>
  <conditionalFormatting sqref="J68">
    <cfRule type="expression" dxfId="36" priority="3">
      <formula>$G$54&lt;&gt;""</formula>
    </cfRule>
  </conditionalFormatting>
  <conditionalFormatting sqref="N40">
    <cfRule type="expression" dxfId="35" priority="2">
      <formula>$B40&lt;&gt;""</formula>
    </cfRule>
  </conditionalFormatting>
  <conditionalFormatting sqref="N26">
    <cfRule type="expression" dxfId="34" priority="1">
      <formula>$J$26&lt;&gt;""</formula>
    </cfRule>
  </conditionalFormatting>
  <dataValidations count="17">
    <dataValidation type="textLength" allowBlank="1" showInputMessage="1" showErrorMessage="1" errorTitle="Atenção" error="Os primeiros 2 caracteres do IBAN são o código do País (Portugal é PT)" sqref="B50">
      <formula1>2</formula1>
      <formula2>2</formula2>
    </dataValidation>
    <dataValidation type="list" allowBlank="1" showInputMessage="1" showErrorMessage="1" sqref="B26 G14 B54 G54 G26 B14">
      <formula1>"X"</formula1>
    </dataValidation>
    <dataValidation type="textLength" allowBlank="1" showInputMessage="1" showErrorMessage="1" errorTitle="PARAR" error="O comprimento do texto é superior ao Código Postal Português, veja que n.º colocou a mais, ou se não falta um espaço ou &quot;-&quot; entre os 4 primeiros n.º e os 3 últimos." sqref="F34 F15 F8 F62">
      <formula1>8</formula1>
      <formula2>8</formula2>
    </dataValidation>
    <dataValidation type="textLength" errorStyle="warning" allowBlank="1" showInputMessage="1" showErrorMessage="1" errorTitle="Atenção:" error="O comprimento do texto é superior ao planeado para este campo, se optar por continuar, poderá não aparecer na totalidade no Recibo de Renda." sqref="D4 D30 D58">
      <formula1>0</formula1>
      <formula2>75</formula2>
    </dataValidation>
    <dataValidation type="textLength" errorStyle="warning" allowBlank="1" showInputMessage="1" showErrorMessage="1" errorTitle="Atenção" error="O comprimento do texto é superior ao planeado para este campo, se optar por continuar, poderá não aparecer na totalidade no Recibo de Renda." sqref="E6 E32 E60">
      <formula1>0</formula1>
      <formula2>50</formula2>
    </dataValidation>
    <dataValidation type="textLength" allowBlank="1" showInputMessage="1" showErrorMessage="1" error="O n.º de contribuinte Português tem 9 dígitos, veja se o número que colocou tem exactamente 9." sqref="F36 F64">
      <formula1>9</formula1>
      <formula2>9</formula2>
    </dataValidation>
    <dataValidation type="whole" allowBlank="1" showInputMessage="1" showErrorMessage="1" errorTitle="Atenção:" error="Aqui deve colocar o número da freguesia, tal como preenche o seu IRS/IRC (não é texto)" sqref="E12:F12">
      <formula1>0</formula1>
      <formula2>9999999</formula2>
    </dataValidation>
    <dataValidation type="textLength" allowBlank="1" showInputMessage="1" showErrorMessage="1" errorTitle="Atenção" error="É para colocar o tipo, por exemplo: U é de Urbano " sqref="I12">
      <formula1>1</formula1>
      <formula2>1</formula2>
    </dataValidation>
    <dataValidation type="textLength" allowBlank="1" showInputMessage="1" showErrorMessage="1" errorTitle="Atenção" error="Coloque o n.º da fracção da caderneta predial (por exemplo AM)" sqref="K12">
      <formula1>1</formula1>
      <formula2>6</formula2>
    </dataValidation>
    <dataValidation type="textLength" allowBlank="1" showInputMessage="1" showErrorMessage="1" errorTitle="Atenção:" error="Verifique se o n.º de telefone tem o n.º de dígitos correctos. Não coloque +, nem parêntesis, nem espaços, apenas os n.º do indicativo e do telefone." sqref="J44 E44:F44 E72:F72 J72">
      <formula1>9</formula1>
      <formula2>12</formula2>
    </dataValidation>
    <dataValidation type="textLength" operator="equal" showInputMessage="1" showErrorMessage="1" errorTitle="Atenção:" error="Os primeiros 4 dígitos do NIB são do Banco" sqref="D50">
      <formula1>4</formula1>
    </dataValidation>
    <dataValidation type="textLength" allowBlank="1" showInputMessage="1" showErrorMessage="1" errorTitle="Atenção:" error="Os terceiros 11 dígitos do NIB são do n.º da conta" sqref="F50">
      <formula1>11</formula1>
      <formula2>11</formula2>
    </dataValidation>
    <dataValidation type="textLength" allowBlank="1" showInputMessage="1" showErrorMessage="1" errorTitle="Atenção" error="Os quartos últimos 2 dígitos do NIB são de controlo" sqref="G50">
      <formula1>2</formula1>
      <formula2>2</formula2>
    </dataValidation>
    <dataValidation type="textLength" allowBlank="1" showInputMessage="1" showErrorMessage="1" errorTitle="Atenção:" error="Os segundos 4 dígitos do NIB são da Agência do banco (ou 0000, se o banco não utiliza esta codificação)" sqref="E50">
      <formula1>4</formula1>
      <formula2>4</formula2>
    </dataValidation>
    <dataValidation type="decimal" allowBlank="1" showInputMessage="1" showErrorMessage="1" errorTitle="Erro" error="Tem que ser um numero - não coloque simbolos como o €" sqref="F16 M18">
      <formula1>0</formula1>
      <formula2>50000000000000</formula2>
    </dataValidation>
    <dataValidation type="list" allowBlank="1" showInputMessage="1" showErrorMessage="1" sqref="G18 G20 N26">
      <formula1>"sim, não"</formula1>
    </dataValidation>
    <dataValidation type="textLength" allowBlank="1" showInputMessage="1" showErrorMessage="1" errorTitle="Atenção" error="Os segundos 2 dígitos do IBAN são o n.º do País (Portugal 50)" sqref="C50">
      <formula1>2</formula1>
      <formula2>2</formula2>
    </dataValidation>
  </dataValidations>
  <hyperlinks>
    <hyperlink ref="P2" r:id="rId1"/>
    <hyperlink ref="D74" r:id="rId2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>
    <pageSetUpPr fitToPage="1"/>
  </sheetPr>
  <dimension ref="B1:IX79"/>
  <sheetViews>
    <sheetView showGridLines="0" workbookViewId="0">
      <selection activeCell="D8" sqref="D8"/>
    </sheetView>
  </sheetViews>
  <sheetFormatPr defaultRowHeight="15" x14ac:dyDescent="0.25"/>
  <cols>
    <col min="1" max="1" width="9.140625" style="2"/>
    <col min="2" max="2" width="3.5703125" style="2" customWidth="1"/>
    <col min="3" max="3" width="10.85546875" style="2" customWidth="1"/>
    <col min="4" max="4" width="12" style="2" bestFit="1" customWidth="1"/>
    <col min="5" max="5" width="10.85546875" style="2" bestFit="1" customWidth="1"/>
    <col min="6" max="8" width="9.140625" style="2"/>
    <col min="9" max="10" width="3.7109375" style="2" customWidth="1"/>
    <col min="11" max="15" width="9.140625" style="2"/>
    <col min="16" max="16" width="10" style="2" customWidth="1"/>
    <col min="17" max="17" width="4.5703125" style="2" customWidth="1"/>
    <col min="18" max="18" width="11" style="2" bestFit="1" customWidth="1"/>
    <col min="19" max="19" width="3.5703125" style="2" customWidth="1"/>
    <col min="20" max="16384" width="9.140625" style="2"/>
  </cols>
  <sheetData>
    <row r="1" spans="2:258" x14ac:dyDescent="0.25">
      <c r="U1" s="78" t="s">
        <v>103</v>
      </c>
    </row>
    <row r="2" spans="2:258" ht="19.5" customHeight="1" x14ac:dyDescent="0.25">
      <c r="B2" s="158" t="s">
        <v>89</v>
      </c>
      <c r="C2" s="158"/>
      <c r="D2" s="158"/>
      <c r="E2" s="158"/>
      <c r="F2" s="158"/>
      <c r="G2" s="158"/>
      <c r="H2" s="159"/>
      <c r="I2" s="16"/>
      <c r="K2" s="160" t="s">
        <v>105</v>
      </c>
      <c r="L2" s="160"/>
      <c r="M2" s="160"/>
      <c r="N2" s="160"/>
      <c r="O2" s="160"/>
      <c r="P2" s="161"/>
      <c r="Q2" s="16"/>
      <c r="R2" s="98"/>
      <c r="U2" s="101" t="s">
        <v>184</v>
      </c>
    </row>
    <row r="3" spans="2:258" ht="8.25" customHeight="1" x14ac:dyDescent="0.25">
      <c r="B3" s="15"/>
      <c r="K3" s="88"/>
      <c r="L3" s="89"/>
      <c r="M3" s="89"/>
      <c r="N3" s="89"/>
      <c r="O3" s="89"/>
      <c r="P3" s="89"/>
    </row>
    <row r="4" spans="2:258" ht="19.5" customHeight="1" x14ac:dyDescent="0.25">
      <c r="B4" s="158" t="s">
        <v>107</v>
      </c>
      <c r="C4" s="158"/>
      <c r="D4" s="158"/>
      <c r="E4" s="158"/>
      <c r="F4" s="158"/>
      <c r="G4" s="158"/>
      <c r="H4" s="159"/>
      <c r="I4" s="16"/>
      <c r="K4" s="160" t="s">
        <v>108</v>
      </c>
      <c r="L4" s="160"/>
      <c r="M4" s="160"/>
      <c r="N4" s="160"/>
      <c r="O4" s="160"/>
      <c r="P4" s="161"/>
      <c r="Q4" s="16"/>
    </row>
    <row r="5" spans="2:258" ht="8.25" customHeight="1" x14ac:dyDescent="0.25">
      <c r="B5" s="15"/>
      <c r="K5" s="15"/>
    </row>
    <row r="6" spans="2:258" ht="24.75" customHeight="1" x14ac:dyDescent="0.25">
      <c r="B6" s="158" t="s">
        <v>176</v>
      </c>
      <c r="C6" s="158"/>
      <c r="D6" s="158"/>
      <c r="E6" s="158"/>
      <c r="F6" s="158"/>
      <c r="G6" s="158"/>
      <c r="H6" s="159"/>
      <c r="I6" s="16"/>
      <c r="K6" s="160" t="s">
        <v>177</v>
      </c>
      <c r="L6" s="160"/>
      <c r="M6" s="160"/>
      <c r="N6" s="160"/>
      <c r="O6" s="160"/>
      <c r="P6" s="161"/>
      <c r="Q6" s="16"/>
    </row>
    <row r="7" spans="2:258" ht="8.25" customHeight="1" x14ac:dyDescent="0.25">
      <c r="B7" s="15"/>
      <c r="K7" s="15"/>
    </row>
    <row r="8" spans="2:258" x14ac:dyDescent="0.25">
      <c r="B8" s="15" t="s">
        <v>57</v>
      </c>
      <c r="D8" s="17"/>
      <c r="F8" s="15" t="s">
        <v>60</v>
      </c>
      <c r="H8" s="18"/>
      <c r="K8" s="158" t="s">
        <v>110</v>
      </c>
      <c r="L8" s="158"/>
      <c r="M8" s="158"/>
      <c r="N8" s="158"/>
      <c r="O8" s="158"/>
      <c r="P8" s="159"/>
      <c r="Q8" s="156"/>
      <c r="R8" s="157"/>
    </row>
    <row r="9" spans="2:258" ht="15.75" thickBot="1" x14ac:dyDescent="0.3">
      <c r="IW9" s="19" t="s">
        <v>39</v>
      </c>
    </row>
    <row r="10" spans="2:258" ht="9.75" customHeight="1" x14ac:dyDescent="0.25">
      <c r="B10" s="2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2"/>
      <c r="IW10" s="19"/>
    </row>
    <row r="11" spans="2:258" ht="17.25" customHeight="1" x14ac:dyDescent="0.25">
      <c r="B11" s="23"/>
      <c r="C11" s="24" t="str">
        <f>IF('Dados a Colocar'!D28="","",'Dados a Colocar'!D28)</f>
        <v/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6"/>
      <c r="IW11" s="2">
        <v>1</v>
      </c>
      <c r="IX11" s="2" t="s">
        <v>40</v>
      </c>
    </row>
    <row r="12" spans="2:258" ht="17.25" customHeight="1" x14ac:dyDescent="0.25">
      <c r="B12" s="23"/>
      <c r="C12" s="154" t="str">
        <f>IF('Dados a Colocar'!D30="","",'Dados a Colocar'!D30)</f>
        <v/>
      </c>
      <c r="D12" s="154"/>
      <c r="E12" s="154"/>
      <c r="F12" s="154"/>
      <c r="G12" s="154"/>
      <c r="H12" s="15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6"/>
      <c r="IW12" s="2">
        <v>2</v>
      </c>
      <c r="IX12" s="2" t="s">
        <v>41</v>
      </c>
    </row>
    <row r="13" spans="2:258" ht="17.25" customHeight="1" x14ac:dyDescent="0.25">
      <c r="B13" s="23"/>
      <c r="C13" s="25" t="str">
        <f>IF('Dados a Colocar'!F34="","",'Dados a Colocar'!F34)</f>
        <v/>
      </c>
      <c r="D13" s="154" t="str">
        <f>IF('Dados a Colocar'!E32="","",'Dados a Colocar'!E32)</f>
        <v/>
      </c>
      <c r="E13" s="154"/>
      <c r="F13" s="154"/>
      <c r="G13" s="154"/>
      <c r="H13" s="15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6"/>
      <c r="IW13" s="2">
        <v>3</v>
      </c>
      <c r="IX13" s="2" t="s">
        <v>42</v>
      </c>
    </row>
    <row r="14" spans="2:258" ht="17.25" customHeight="1" x14ac:dyDescent="0.25">
      <c r="B14" s="23"/>
      <c r="C14" s="154" t="str">
        <f>IF('Dados a Colocar'!F36="","",'Dados a Colocar'!B36)</f>
        <v/>
      </c>
      <c r="D14" s="154"/>
      <c r="E14" s="27" t="str">
        <f>IF('Dados a Colocar'!F36="","",'Dados a Colocar'!F36)</f>
        <v/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6"/>
      <c r="IW14" s="2">
        <v>4</v>
      </c>
      <c r="IX14" s="2" t="s">
        <v>43</v>
      </c>
    </row>
    <row r="15" spans="2:258" ht="17.25" customHeight="1" x14ac:dyDescent="0.25">
      <c r="B15" s="23"/>
      <c r="C15" s="28" t="str">
        <f>IF('Dados a Colocar'!J38="","",'Dados a Colocar'!B38)</f>
        <v/>
      </c>
      <c r="D15" s="25"/>
      <c r="E15" s="25"/>
      <c r="F15" s="25"/>
      <c r="G15" s="155" t="str">
        <f>IF('Dados a Colocar'!J38="","",'Dados a Colocar'!J38)</f>
        <v/>
      </c>
      <c r="H15" s="15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6"/>
      <c r="IW15" s="2">
        <v>5</v>
      </c>
      <c r="IX15" s="2" t="s">
        <v>44</v>
      </c>
    </row>
    <row r="16" spans="2:258" ht="17.25" customHeight="1" x14ac:dyDescent="0.25">
      <c r="B16" s="23"/>
      <c r="C16" s="28" t="str">
        <f>IF('Dados a Colocar'!F40="","",'Dados a Colocar'!B40)</f>
        <v/>
      </c>
      <c r="D16" s="29" t="str">
        <f>IF('Dados a Colocar'!F40="","",'Dados a Colocar'!F40)</f>
        <v/>
      </c>
      <c r="E16" s="25"/>
      <c r="F16" s="25"/>
      <c r="G16" s="28"/>
      <c r="H16" s="25"/>
      <c r="I16" s="25"/>
      <c r="J16" s="25"/>
      <c r="K16" s="25"/>
      <c r="L16" s="30" t="s">
        <v>32</v>
      </c>
      <c r="M16" s="25"/>
      <c r="N16" s="25"/>
      <c r="O16" s="25"/>
      <c r="P16" s="25"/>
      <c r="Q16" s="25"/>
      <c r="R16" s="25"/>
      <c r="S16" s="26"/>
      <c r="IW16" s="2">
        <v>6</v>
      </c>
      <c r="IX16" s="2" t="s">
        <v>45</v>
      </c>
    </row>
    <row r="17" spans="2:258" ht="17.25" customHeight="1" x14ac:dyDescent="0.25">
      <c r="B17" s="23"/>
      <c r="C17" s="28"/>
      <c r="D17" s="29"/>
      <c r="E17" s="25"/>
      <c r="F17" s="25"/>
      <c r="G17" s="28"/>
      <c r="H17" s="25"/>
      <c r="I17" s="25"/>
      <c r="J17" s="25"/>
      <c r="K17" s="25"/>
      <c r="L17" s="169" t="str">
        <f>IF('Dados a Colocar'!D56="","",'Dados a Colocar'!D56)</f>
        <v/>
      </c>
      <c r="M17" s="169"/>
      <c r="N17" s="169"/>
      <c r="O17" s="169"/>
      <c r="P17" s="169"/>
      <c r="Q17" s="169"/>
      <c r="R17" s="169"/>
      <c r="S17" s="26"/>
      <c r="IW17" s="2">
        <v>7</v>
      </c>
      <c r="IX17" s="2" t="s">
        <v>46</v>
      </c>
    </row>
    <row r="18" spans="2:258" ht="17.25" customHeight="1" x14ac:dyDescent="0.25">
      <c r="B18" s="23"/>
      <c r="C18" s="28"/>
      <c r="D18" s="29"/>
      <c r="E18" s="25"/>
      <c r="F18" s="25"/>
      <c r="G18" s="28"/>
      <c r="H18" s="25"/>
      <c r="I18" s="25"/>
      <c r="J18" s="25"/>
      <c r="K18" s="25"/>
      <c r="L18" s="154" t="str">
        <f>IF('Dados a Colocar'!D58="","",'Dados a Colocar'!D58)</f>
        <v/>
      </c>
      <c r="M18" s="154"/>
      <c r="N18" s="154"/>
      <c r="O18" s="154"/>
      <c r="P18" s="154"/>
      <c r="Q18" s="154"/>
      <c r="R18" s="154"/>
      <c r="S18" s="26"/>
      <c r="IW18" s="2">
        <v>8</v>
      </c>
      <c r="IX18" s="2" t="s">
        <v>47</v>
      </c>
    </row>
    <row r="19" spans="2:258" ht="17.25" customHeight="1" x14ac:dyDescent="0.25">
      <c r="B19" s="23"/>
      <c r="C19" s="28"/>
      <c r="D19" s="29"/>
      <c r="E19" s="25"/>
      <c r="F19" s="25"/>
      <c r="G19" s="28"/>
      <c r="H19" s="25"/>
      <c r="I19" s="25"/>
      <c r="J19" s="25"/>
      <c r="K19" s="25"/>
      <c r="L19" s="25" t="str">
        <f>IF('Dados a Colocar'!F62="","",'Dados a Colocar'!F62)</f>
        <v/>
      </c>
      <c r="M19" s="154" t="str">
        <f>IF('Dados a Colocar'!E60="","",'Dados a Colocar'!E60)</f>
        <v/>
      </c>
      <c r="N19" s="154"/>
      <c r="O19" s="154"/>
      <c r="P19" s="154"/>
      <c r="Q19" s="154"/>
      <c r="R19" s="154"/>
      <c r="S19" s="26"/>
      <c r="IW19" s="2">
        <v>9</v>
      </c>
      <c r="IX19" s="2" t="s">
        <v>48</v>
      </c>
    </row>
    <row r="20" spans="2:258" ht="15.75" thickBot="1" x14ac:dyDescent="0.3">
      <c r="B20" s="23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6"/>
      <c r="IW20" s="2">
        <v>10</v>
      </c>
      <c r="IX20" s="2" t="s">
        <v>49</v>
      </c>
    </row>
    <row r="21" spans="2:258" ht="18" customHeight="1" x14ac:dyDescent="0.25">
      <c r="B21" s="23"/>
      <c r="C21" s="150" t="s">
        <v>33</v>
      </c>
      <c r="D21" s="150"/>
      <c r="E21" s="170" t="s">
        <v>34</v>
      </c>
      <c r="F21" s="171"/>
      <c r="G21" s="171"/>
      <c r="H21" s="172"/>
      <c r="I21" s="150" t="s">
        <v>35</v>
      </c>
      <c r="J21" s="150"/>
      <c r="K21" s="150"/>
      <c r="L21" s="150" t="s">
        <v>37</v>
      </c>
      <c r="M21" s="150"/>
      <c r="N21" s="150"/>
      <c r="O21" s="150"/>
      <c r="P21" s="150"/>
      <c r="Q21" s="150"/>
      <c r="R21" s="150"/>
      <c r="S21" s="26"/>
      <c r="IW21" s="2">
        <v>11</v>
      </c>
      <c r="IX21" s="2" t="s">
        <v>50</v>
      </c>
    </row>
    <row r="22" spans="2:258" ht="20.25" thickBot="1" x14ac:dyDescent="0.3">
      <c r="B22" s="23"/>
      <c r="C22" s="167" t="str">
        <f>IF('Dados a Colocar'!F64="","",'Dados a Colocar'!F64)</f>
        <v/>
      </c>
      <c r="D22" s="167"/>
      <c r="E22" s="173" t="str">
        <f>IF(D8="","",D8)</f>
        <v/>
      </c>
      <c r="F22" s="174"/>
      <c r="G22" s="174"/>
      <c r="H22" s="175"/>
      <c r="I22" s="168" t="s">
        <v>36</v>
      </c>
      <c r="J22" s="168"/>
      <c r="K22" s="168"/>
      <c r="L22" s="162" t="str">
        <f>IF(H8="","",H8&amp;"/"&amp;YEAR(D8))</f>
        <v/>
      </c>
      <c r="M22" s="162"/>
      <c r="N22" s="162"/>
      <c r="O22" s="162"/>
      <c r="P22" s="162"/>
      <c r="Q22" s="162"/>
      <c r="R22" s="162"/>
      <c r="S22" s="26"/>
      <c r="IW22" s="2">
        <v>12</v>
      </c>
      <c r="IX22" s="2" t="s">
        <v>51</v>
      </c>
    </row>
    <row r="23" spans="2:258" x14ac:dyDescent="0.25">
      <c r="B23" s="23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6"/>
    </row>
    <row r="24" spans="2:258" x14ac:dyDescent="0.25">
      <c r="B24" s="23"/>
      <c r="C24" s="24" t="s">
        <v>53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31" t="str">
        <f>IF(OR(I2="sim",I4="sim"),"Valor da Caução:","")</f>
        <v/>
      </c>
      <c r="Q24" s="25"/>
      <c r="R24" s="32" t="str">
        <f>IF(OR(I2="sim",I4="sim"),'Dados a Colocar'!M18,"")</f>
        <v/>
      </c>
      <c r="S24" s="26"/>
    </row>
    <row r="25" spans="2:258" ht="23.25" customHeight="1" x14ac:dyDescent="0.25">
      <c r="B25" s="23"/>
      <c r="C25" s="33" t="s">
        <v>38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31" t="s">
        <v>0</v>
      </c>
      <c r="Q25" s="25"/>
      <c r="R25" s="32">
        <f>IF(I2="sim",'Dados a Colocar'!F16*2,IF(I4="sim",'Dados a Colocar'!F16,IF(Q2="sim",'Dados a Colocar'!F16*2,IF(Q4="sim",'Dados a Colocar'!F16,'Dados a Colocar'!F16+ROUND('Dados a Colocar'!F16*Recibo!Q8,2)))))</f>
        <v>0</v>
      </c>
      <c r="S25" s="26"/>
    </row>
    <row r="26" spans="2:258" ht="23.25" customHeight="1" x14ac:dyDescent="0.25">
      <c r="B26" s="23"/>
      <c r="C26" s="154" t="str">
        <f>IF('Dados a Colocar'!D4="","",'Dados a Colocar'!D4)</f>
        <v/>
      </c>
      <c r="D26" s="154"/>
      <c r="E26" s="154"/>
      <c r="F26" s="154"/>
      <c r="G26" s="154"/>
      <c r="H26" s="154"/>
      <c r="I26" s="154"/>
      <c r="J26" s="154"/>
      <c r="K26" s="154"/>
      <c r="L26" s="25"/>
      <c r="M26" s="25"/>
      <c r="N26" s="25"/>
      <c r="O26" s="25"/>
      <c r="P26" s="31" t="s">
        <v>1</v>
      </c>
      <c r="Q26" s="94">
        <f>IF(Q34="X",0,'Dados a Colocar'!J68)</f>
        <v>0</v>
      </c>
      <c r="R26" s="35">
        <f>-ROUND(R25*Q26,2)</f>
        <v>0</v>
      </c>
      <c r="S26" s="26"/>
    </row>
    <row r="27" spans="2:258" ht="23.25" customHeight="1" x14ac:dyDescent="0.25">
      <c r="B27" s="23"/>
      <c r="C27" s="33" t="str">
        <f>IF(D8="","",IF(I2="Sim","Pela caução e as rendas dos meses de "&amp;IFERROR(VLOOKUP(MONTH('Dados a Colocar'!L16),$IW$11:$IX$22,2,FALSE)&amp;" e de "&amp;VLOOKUP(MONTH('Dados a Colocar'!L16)+1,$IW$11:$IX$22,2,FALSE)&amp;" de "&amp;YEAR('Dados a Colocar'!L16),"Dezembro"&amp;" de "&amp;YEAR('Dados a Colocar'!L16)&amp;" e Janeiro"&amp;" de "&amp;YEAR('Dados a Colocar'!L16)+1),IF(I4="Sim","Pela caução e a renda do mês de "&amp;VLOOKUP(MONTH('Dados a Colocar'!L16),$IW$11:$IX$22,2,FALSE)&amp;" de "&amp;YEAR('Dados a Colocar'!L16),IF(Q2="Sim","Pelas rendas dos meses de "&amp;IFERROR(VLOOKUP(MONTH('Dados a Colocar'!L16),$IW$11:$IX$22,2,FALSE)&amp;" e de "&amp;VLOOKUP(MONTH('Dados a Colocar'!L16)+1,$IW$11:$IX$22,2,FALSE)&amp;" de "&amp;YEAR('Dados a Colocar'!L16),"Dezembro"&amp;" de "&amp;YEAR('Dados a Colocar'!L16)&amp;" e Janeiro"&amp;" de "&amp;YEAR('Dados a Colocar'!L16)+1),IF(Q4="Sim","Pela renda do mês de "&amp;VLOOKUP(MONTH('Dados a Colocar'!L16),$IW$11:$IX$22,2,FALSE)&amp;" de "&amp;YEAR('Dados a Colocar'!L16),IF(I6="Sim","Pela renda do mês de "&amp;IFERROR(VLOOKUP(MONTH(D8)+1,$IW$11:$IX$22,2,FALSE)&amp;" de "&amp;YEAR(D8),"Janeiro"&amp;" de "&amp;YEAR(D8)+1),IF(Q6="Sim","Pela renda do mês de "&amp;IFERROR(VLOOKUP(MONTH(D8)+2,$IW$11:$IX$22,2,FALSE),"Dezembro"&amp;" de "&amp;YEAR(D8)&amp;" e Janeiro"&amp;" de "&amp;YEAR(D8)+1),"Pela renda do mês de "&amp;VLOOKUP(MONTH(D8),$IW$11:$IX$22,2,FALSE)&amp;" de "&amp;YEAR(D8))))))))</f>
        <v/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36"/>
      <c r="P27" s="37" t="s">
        <v>2</v>
      </c>
      <c r="Q27" s="36"/>
      <c r="R27" s="38">
        <f>SUM(R24:R26)</f>
        <v>0</v>
      </c>
      <c r="S27" s="26"/>
    </row>
    <row r="28" spans="2:258" ht="23.25" customHeight="1" x14ac:dyDescent="0.25">
      <c r="B28" s="23"/>
      <c r="C28" s="33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31" t="s">
        <v>3</v>
      </c>
      <c r="Q28" s="34">
        <f>IF(Q38="X",'Dados a Colocar'!N40,0%)</f>
        <v>0</v>
      </c>
      <c r="R28" s="35">
        <f>R25*Q28</f>
        <v>0</v>
      </c>
      <c r="S28" s="26"/>
    </row>
    <row r="29" spans="2:258" ht="23.25" customHeight="1" thickBot="1" x14ac:dyDescent="0.3">
      <c r="B29" s="23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39"/>
      <c r="P29" s="40" t="s">
        <v>4</v>
      </c>
      <c r="Q29" s="39"/>
      <c r="R29" s="41">
        <f>SUM(R27:R28)</f>
        <v>0</v>
      </c>
      <c r="S29" s="26"/>
    </row>
    <row r="30" spans="2:258" ht="15.75" thickTop="1" x14ac:dyDescent="0.25">
      <c r="B30" s="23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6"/>
    </row>
    <row r="31" spans="2:258" x14ac:dyDescent="0.25">
      <c r="B31" s="23"/>
      <c r="C31" s="25"/>
      <c r="D31" s="25"/>
      <c r="E31" s="25"/>
      <c r="F31" s="25"/>
      <c r="G31" s="25"/>
      <c r="H31" s="25"/>
      <c r="J31" s="25"/>
      <c r="K31" s="25"/>
      <c r="L31" s="25"/>
      <c r="M31" s="25"/>
      <c r="N31" s="25"/>
      <c r="O31" s="25"/>
      <c r="P31" s="25"/>
      <c r="Q31" s="25"/>
      <c r="R31" s="130" t="str">
        <f ca="1">IFERROR("Valor por extenso: "&amp;fExtenso(R29,1,"euro","euros ",TRUE),"")</f>
        <v/>
      </c>
      <c r="S31" s="26"/>
    </row>
    <row r="32" spans="2:258" x14ac:dyDescent="0.25">
      <c r="B32" s="23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6"/>
    </row>
    <row r="33" spans="2:258" x14ac:dyDescent="0.25">
      <c r="B33" s="23"/>
      <c r="C33" s="163" t="s">
        <v>175</v>
      </c>
      <c r="D33" s="163"/>
      <c r="E33" s="163"/>
      <c r="F33" s="163"/>
      <c r="G33" s="163"/>
      <c r="H33" s="25"/>
      <c r="I33" s="25"/>
      <c r="J33" s="42" t="s">
        <v>52</v>
      </c>
      <c r="K33" s="25"/>
      <c r="L33" s="25"/>
      <c r="M33" s="25"/>
      <c r="N33" s="25"/>
      <c r="O33" s="25"/>
      <c r="P33" s="25"/>
      <c r="Q33" s="25"/>
      <c r="R33" s="25"/>
      <c r="S33" s="26"/>
    </row>
    <row r="34" spans="2:258" x14ac:dyDescent="0.25">
      <c r="B34" s="23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43" t="str">
        <f>IF(AND('Dados a Colocar'!$B$26="X",'Dados a Colocar'!$N$26="sim"),"Sem retenção de IRS ao abrigo do n.º1 do art. 9º do Dec. Lei 42/91 de 22 de Janeiro","")</f>
        <v/>
      </c>
      <c r="Q34" s="83"/>
      <c r="R34" s="25"/>
      <c r="S34" s="26"/>
    </row>
    <row r="35" spans="2:258" ht="6" customHeight="1" x14ac:dyDescent="0.25">
      <c r="B35" s="23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6"/>
    </row>
    <row r="36" spans="2:258" x14ac:dyDescent="0.25">
      <c r="B36" s="23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127" t="str">
        <f>IF($R$29=0,"",IF($Q$38="X","","IVA isento ao abrigo do n.º 30 do artigo 9º do CIVA"))</f>
        <v/>
      </c>
      <c r="Q36" s="83"/>
      <c r="R36" s="25"/>
      <c r="S36" s="26"/>
    </row>
    <row r="37" spans="2:258" ht="6" customHeight="1" x14ac:dyDescent="0.25">
      <c r="B37" s="23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</row>
    <row r="38" spans="2:258" ht="13.5" customHeight="1" x14ac:dyDescent="0.25">
      <c r="B38" s="23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43" t="str">
        <f>IF('Dados a Colocar'!$G$26="X","Tem que liquidar IVA? (por ser uma sociedade gestora de fundos ou solicitação do levantamento de isenção)","")</f>
        <v/>
      </c>
      <c r="Q38" s="83"/>
      <c r="R38" s="25"/>
      <c r="S38" s="26"/>
    </row>
    <row r="39" spans="2:258" ht="6" customHeight="1" x14ac:dyDescent="0.25">
      <c r="B39" s="23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6"/>
    </row>
    <row r="40" spans="2:258" x14ac:dyDescent="0.25">
      <c r="B40" s="44"/>
      <c r="C40" s="45" t="s">
        <v>54</v>
      </c>
      <c r="D40" s="46" t="str">
        <f>IF('Dados a Colocar'!E44="","",'Dados a Colocar'!B44)</f>
        <v/>
      </c>
      <c r="E40" s="151" t="str">
        <f>IF('Dados a Colocar'!E44="","",'Dados a Colocar'!E44)</f>
        <v/>
      </c>
      <c r="F40" s="151"/>
      <c r="G40" s="152" t="str">
        <f>IF('Dados a Colocar'!J44="","",'Dados a Colocar'!H44)</f>
        <v/>
      </c>
      <c r="H40" s="152"/>
      <c r="I40" s="151" t="str">
        <f>IF('Dados a Colocar'!J44="","",'Dados a Colocar'!J44)</f>
        <v/>
      </c>
      <c r="J40" s="151"/>
      <c r="K40" s="151"/>
      <c r="L40" s="151"/>
      <c r="M40" s="46" t="str">
        <f>IF('Dados a Colocar'!D46="","",'Dados a Colocar'!B46)</f>
        <v/>
      </c>
      <c r="N40" s="153" t="str">
        <f>IF('Dados a Colocar'!D46="","",'Dados a Colocar'!D46)</f>
        <v/>
      </c>
      <c r="O40" s="153"/>
      <c r="P40" s="153"/>
      <c r="Q40" s="153"/>
      <c r="R40" s="153"/>
      <c r="S40" s="26"/>
    </row>
    <row r="41" spans="2:258" ht="6" customHeight="1" x14ac:dyDescent="0.25">
      <c r="B41" s="44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26"/>
    </row>
    <row r="42" spans="2:258" x14ac:dyDescent="0.25">
      <c r="B42" s="44"/>
      <c r="C42" s="45" t="s">
        <v>55</v>
      </c>
      <c r="D42" s="47" t="str">
        <f>IF('Dados a Colocar'!D50="","",'Dados a Colocar'!B50&amp;" "&amp;'Dados a Colocar'!D50&amp;"-"&amp;'Dados a Colocar'!E50&amp;"-"&amp;'Dados a Colocar'!F50&amp;"-"&amp;'Dados a Colocar'!G50)</f>
        <v/>
      </c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26"/>
    </row>
    <row r="43" spans="2:258" ht="9" customHeight="1" thickBot="1" x14ac:dyDescent="0.3"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50"/>
    </row>
    <row r="44" spans="2:258" ht="113.25" customHeight="1" thickBot="1" x14ac:dyDescent="0.3"/>
    <row r="45" spans="2:258" ht="9.75" customHeight="1" x14ac:dyDescent="0.25">
      <c r="B45" s="20" t="str">
        <f t="shared" ref="B45:S45" si="0">IF(B10="","",B10)</f>
        <v/>
      </c>
      <c r="C45" s="21" t="str">
        <f t="shared" si="0"/>
        <v/>
      </c>
      <c r="D45" s="21" t="str">
        <f t="shared" si="0"/>
        <v/>
      </c>
      <c r="E45" s="21" t="str">
        <f t="shared" si="0"/>
        <v/>
      </c>
      <c r="F45" s="21" t="str">
        <f t="shared" si="0"/>
        <v/>
      </c>
      <c r="G45" s="21" t="str">
        <f t="shared" si="0"/>
        <v/>
      </c>
      <c r="H45" s="21" t="str">
        <f t="shared" si="0"/>
        <v/>
      </c>
      <c r="I45" s="21" t="str">
        <f t="shared" si="0"/>
        <v/>
      </c>
      <c r="J45" s="21" t="str">
        <f t="shared" si="0"/>
        <v/>
      </c>
      <c r="K45" s="21" t="str">
        <f t="shared" si="0"/>
        <v/>
      </c>
      <c r="L45" s="21" t="str">
        <f t="shared" si="0"/>
        <v/>
      </c>
      <c r="M45" s="21" t="str">
        <f t="shared" si="0"/>
        <v/>
      </c>
      <c r="N45" s="21" t="str">
        <f t="shared" si="0"/>
        <v/>
      </c>
      <c r="O45" s="21" t="str">
        <f t="shared" si="0"/>
        <v/>
      </c>
      <c r="P45" s="21" t="str">
        <f t="shared" si="0"/>
        <v/>
      </c>
      <c r="Q45" s="21" t="str">
        <f t="shared" si="0"/>
        <v/>
      </c>
      <c r="R45" s="21" t="str">
        <f t="shared" si="0"/>
        <v/>
      </c>
      <c r="S45" s="22" t="str">
        <f t="shared" si="0"/>
        <v/>
      </c>
      <c r="IW45" s="19"/>
    </row>
    <row r="46" spans="2:258" ht="17.25" customHeight="1" x14ac:dyDescent="0.25">
      <c r="B46" s="23" t="str">
        <f t="shared" ref="B46:C65" si="1">IF(B11="","",B11)</f>
        <v/>
      </c>
      <c r="C46" s="169" t="str">
        <f t="shared" si="1"/>
        <v/>
      </c>
      <c r="D46" s="169"/>
      <c r="E46" s="169"/>
      <c r="F46" s="169"/>
      <c r="G46" s="169"/>
      <c r="H46" s="169"/>
      <c r="I46" s="25" t="str">
        <f t="shared" ref="I46:S46" si="2">IF(I11="","",I11)</f>
        <v/>
      </c>
      <c r="J46" s="25" t="str">
        <f t="shared" si="2"/>
        <v/>
      </c>
      <c r="K46" s="25" t="str">
        <f t="shared" si="2"/>
        <v/>
      </c>
      <c r="L46" s="25" t="str">
        <f t="shared" si="2"/>
        <v/>
      </c>
      <c r="M46" s="25" t="str">
        <f t="shared" si="2"/>
        <v/>
      </c>
      <c r="N46" s="25" t="str">
        <f t="shared" si="2"/>
        <v/>
      </c>
      <c r="O46" s="25" t="str">
        <f t="shared" si="2"/>
        <v/>
      </c>
      <c r="P46" s="25" t="str">
        <f t="shared" si="2"/>
        <v/>
      </c>
      <c r="Q46" s="25" t="str">
        <f t="shared" si="2"/>
        <v/>
      </c>
      <c r="R46" s="25" t="str">
        <f t="shared" si="2"/>
        <v/>
      </c>
      <c r="S46" s="26" t="str">
        <f t="shared" si="2"/>
        <v/>
      </c>
      <c r="IW46" s="2">
        <v>1</v>
      </c>
      <c r="IX46" s="2" t="s">
        <v>40</v>
      </c>
    </row>
    <row r="47" spans="2:258" ht="17.25" customHeight="1" x14ac:dyDescent="0.25">
      <c r="B47" s="23" t="str">
        <f t="shared" si="1"/>
        <v/>
      </c>
      <c r="C47" s="154" t="str">
        <f t="shared" si="1"/>
        <v/>
      </c>
      <c r="D47" s="154" t="str">
        <f t="shared" ref="D47:H48" si="3">IF(D12="","",D12)</f>
        <v/>
      </c>
      <c r="E47" s="154" t="str">
        <f t="shared" si="3"/>
        <v/>
      </c>
      <c r="F47" s="154" t="str">
        <f t="shared" si="3"/>
        <v/>
      </c>
      <c r="G47" s="154" t="str">
        <f t="shared" si="3"/>
        <v/>
      </c>
      <c r="H47" s="154" t="str">
        <f t="shared" si="3"/>
        <v/>
      </c>
      <c r="I47" s="25" t="str">
        <f t="shared" ref="I47:S47" si="4">IF(I12="","",I12)</f>
        <v/>
      </c>
      <c r="J47" s="25" t="str">
        <f t="shared" si="4"/>
        <v/>
      </c>
      <c r="K47" s="25" t="str">
        <f t="shared" si="4"/>
        <v/>
      </c>
      <c r="L47" s="25" t="str">
        <f t="shared" si="4"/>
        <v/>
      </c>
      <c r="M47" s="25" t="str">
        <f t="shared" si="4"/>
        <v/>
      </c>
      <c r="N47" s="25" t="str">
        <f t="shared" si="4"/>
        <v/>
      </c>
      <c r="O47" s="25" t="str">
        <f t="shared" si="4"/>
        <v/>
      </c>
      <c r="P47" s="25" t="str">
        <f t="shared" si="4"/>
        <v/>
      </c>
      <c r="Q47" s="25" t="str">
        <f t="shared" si="4"/>
        <v/>
      </c>
      <c r="R47" s="25" t="str">
        <f t="shared" si="4"/>
        <v/>
      </c>
      <c r="S47" s="26" t="str">
        <f t="shared" si="4"/>
        <v/>
      </c>
      <c r="IW47" s="2">
        <v>2</v>
      </c>
      <c r="IX47" s="2" t="s">
        <v>41</v>
      </c>
    </row>
    <row r="48" spans="2:258" ht="17.25" customHeight="1" x14ac:dyDescent="0.25">
      <c r="B48" s="23" t="str">
        <f t="shared" si="1"/>
        <v/>
      </c>
      <c r="C48" s="25" t="str">
        <f t="shared" si="1"/>
        <v/>
      </c>
      <c r="D48" s="154" t="str">
        <f t="shared" si="3"/>
        <v/>
      </c>
      <c r="E48" s="154" t="str">
        <f t="shared" si="3"/>
        <v/>
      </c>
      <c r="F48" s="154" t="str">
        <f t="shared" si="3"/>
        <v/>
      </c>
      <c r="G48" s="154" t="str">
        <f t="shared" si="3"/>
        <v/>
      </c>
      <c r="H48" s="154" t="str">
        <f t="shared" si="3"/>
        <v/>
      </c>
      <c r="I48" s="25" t="str">
        <f t="shared" ref="I48:S48" si="5">IF(I13="","",I13)</f>
        <v/>
      </c>
      <c r="J48" s="25" t="str">
        <f t="shared" si="5"/>
        <v/>
      </c>
      <c r="K48" s="25" t="str">
        <f t="shared" si="5"/>
        <v/>
      </c>
      <c r="L48" s="25" t="str">
        <f t="shared" si="5"/>
        <v/>
      </c>
      <c r="M48" s="25" t="str">
        <f t="shared" si="5"/>
        <v/>
      </c>
      <c r="N48" s="25" t="str">
        <f t="shared" si="5"/>
        <v/>
      </c>
      <c r="O48" s="25" t="str">
        <f t="shared" si="5"/>
        <v/>
      </c>
      <c r="P48" s="25" t="str">
        <f t="shared" si="5"/>
        <v/>
      </c>
      <c r="Q48" s="25" t="str">
        <f t="shared" si="5"/>
        <v/>
      </c>
      <c r="R48" s="25" t="str">
        <f t="shared" si="5"/>
        <v/>
      </c>
      <c r="S48" s="26" t="str">
        <f t="shared" si="5"/>
        <v/>
      </c>
      <c r="IW48" s="2">
        <v>3</v>
      </c>
      <c r="IX48" s="2" t="s">
        <v>42</v>
      </c>
    </row>
    <row r="49" spans="2:258" ht="17.25" customHeight="1" x14ac:dyDescent="0.25">
      <c r="B49" s="23" t="str">
        <f t="shared" si="1"/>
        <v/>
      </c>
      <c r="C49" s="154" t="str">
        <f t="shared" si="1"/>
        <v/>
      </c>
      <c r="D49" s="154"/>
      <c r="E49" s="27" t="str">
        <f t="shared" ref="E49:H55" si="6">IF(E14="","",E14)</f>
        <v/>
      </c>
      <c r="F49" s="25" t="str">
        <f t="shared" si="6"/>
        <v/>
      </c>
      <c r="G49" s="25" t="str">
        <f t="shared" si="6"/>
        <v/>
      </c>
      <c r="H49" s="25" t="str">
        <f t="shared" si="6"/>
        <v/>
      </c>
      <c r="I49" s="25" t="str">
        <f t="shared" ref="I49:S49" si="7">IF(I14="","",I14)</f>
        <v/>
      </c>
      <c r="J49" s="25" t="str">
        <f t="shared" si="7"/>
        <v/>
      </c>
      <c r="K49" s="25" t="str">
        <f t="shared" si="7"/>
        <v/>
      </c>
      <c r="L49" s="25" t="str">
        <f t="shared" si="7"/>
        <v/>
      </c>
      <c r="M49" s="25" t="str">
        <f t="shared" si="7"/>
        <v/>
      </c>
      <c r="N49" s="25" t="str">
        <f t="shared" si="7"/>
        <v/>
      </c>
      <c r="O49" s="25" t="str">
        <f t="shared" si="7"/>
        <v/>
      </c>
      <c r="P49" s="25" t="str">
        <f t="shared" si="7"/>
        <v/>
      </c>
      <c r="Q49" s="25" t="str">
        <f t="shared" si="7"/>
        <v/>
      </c>
      <c r="R49" s="25" t="str">
        <f t="shared" si="7"/>
        <v/>
      </c>
      <c r="S49" s="26" t="str">
        <f t="shared" si="7"/>
        <v/>
      </c>
      <c r="IW49" s="2">
        <v>4</v>
      </c>
      <c r="IX49" s="2" t="s">
        <v>43</v>
      </c>
    </row>
    <row r="50" spans="2:258" ht="17.25" customHeight="1" x14ac:dyDescent="0.25">
      <c r="B50" s="23" t="str">
        <f t="shared" si="1"/>
        <v/>
      </c>
      <c r="C50" s="28" t="str">
        <f t="shared" si="1"/>
        <v/>
      </c>
      <c r="D50" s="25" t="str">
        <f t="shared" ref="D50:D59" si="8">IF(D15="","",D15)</f>
        <v/>
      </c>
      <c r="E50" s="25" t="str">
        <f t="shared" si="6"/>
        <v/>
      </c>
      <c r="F50" s="25" t="str">
        <f t="shared" si="6"/>
        <v/>
      </c>
      <c r="G50" s="155" t="str">
        <f t="shared" si="6"/>
        <v/>
      </c>
      <c r="H50" s="155" t="str">
        <f t="shared" si="6"/>
        <v/>
      </c>
      <c r="I50" s="25" t="str">
        <f t="shared" ref="I50:S50" si="9">IF(I15="","",I15)</f>
        <v/>
      </c>
      <c r="J50" s="25" t="str">
        <f t="shared" si="9"/>
        <v/>
      </c>
      <c r="K50" s="25" t="str">
        <f t="shared" si="9"/>
        <v/>
      </c>
      <c r="L50" s="25" t="str">
        <f t="shared" si="9"/>
        <v/>
      </c>
      <c r="M50" s="25" t="str">
        <f t="shared" si="9"/>
        <v/>
      </c>
      <c r="N50" s="25" t="str">
        <f t="shared" si="9"/>
        <v/>
      </c>
      <c r="O50" s="25" t="str">
        <f t="shared" si="9"/>
        <v/>
      </c>
      <c r="P50" s="25" t="str">
        <f t="shared" si="9"/>
        <v/>
      </c>
      <c r="Q50" s="25" t="str">
        <f t="shared" si="9"/>
        <v/>
      </c>
      <c r="R50" s="25" t="str">
        <f t="shared" si="9"/>
        <v/>
      </c>
      <c r="S50" s="26" t="str">
        <f t="shared" si="9"/>
        <v/>
      </c>
      <c r="IW50" s="2">
        <v>5</v>
      </c>
      <c r="IX50" s="2" t="s">
        <v>44</v>
      </c>
    </row>
    <row r="51" spans="2:258" ht="17.25" customHeight="1" x14ac:dyDescent="0.25">
      <c r="B51" s="23" t="str">
        <f t="shared" si="1"/>
        <v/>
      </c>
      <c r="C51" s="28" t="str">
        <f t="shared" si="1"/>
        <v/>
      </c>
      <c r="D51" s="29" t="str">
        <f t="shared" si="8"/>
        <v/>
      </c>
      <c r="E51" s="25" t="str">
        <f t="shared" si="6"/>
        <v/>
      </c>
      <c r="F51" s="25" t="str">
        <f t="shared" si="6"/>
        <v/>
      </c>
      <c r="G51" s="28" t="str">
        <f t="shared" si="6"/>
        <v/>
      </c>
      <c r="H51" s="25" t="str">
        <f t="shared" si="6"/>
        <v/>
      </c>
      <c r="I51" s="25" t="str">
        <f t="shared" ref="I51:L56" si="10">IF(I16="","",I16)</f>
        <v/>
      </c>
      <c r="J51" s="25" t="str">
        <f t="shared" si="10"/>
        <v/>
      </c>
      <c r="K51" s="25" t="str">
        <f t="shared" si="10"/>
        <v/>
      </c>
      <c r="L51" s="176" t="str">
        <f t="shared" si="10"/>
        <v>Exmos.(s) Senhor(es)</v>
      </c>
      <c r="M51" s="176"/>
      <c r="N51" s="25" t="str">
        <f t="shared" ref="N51:S51" si="11">IF(N16="","",N16)</f>
        <v/>
      </c>
      <c r="O51" s="25" t="str">
        <f t="shared" si="11"/>
        <v/>
      </c>
      <c r="P51" s="25" t="str">
        <f t="shared" si="11"/>
        <v/>
      </c>
      <c r="Q51" s="25" t="str">
        <f t="shared" si="11"/>
        <v/>
      </c>
      <c r="R51" s="25" t="str">
        <f t="shared" si="11"/>
        <v/>
      </c>
      <c r="S51" s="26" t="str">
        <f t="shared" si="11"/>
        <v/>
      </c>
      <c r="IW51" s="2">
        <v>6</v>
      </c>
      <c r="IX51" s="2" t="s">
        <v>45</v>
      </c>
    </row>
    <row r="52" spans="2:258" ht="17.25" customHeight="1" x14ac:dyDescent="0.25">
      <c r="B52" s="23" t="str">
        <f t="shared" si="1"/>
        <v/>
      </c>
      <c r="C52" s="28" t="str">
        <f t="shared" si="1"/>
        <v/>
      </c>
      <c r="D52" s="29" t="str">
        <f t="shared" si="8"/>
        <v/>
      </c>
      <c r="E52" s="25" t="str">
        <f t="shared" si="6"/>
        <v/>
      </c>
      <c r="F52" s="25" t="str">
        <f t="shared" si="6"/>
        <v/>
      </c>
      <c r="G52" s="28" t="str">
        <f t="shared" si="6"/>
        <v/>
      </c>
      <c r="H52" s="25" t="str">
        <f t="shared" si="6"/>
        <v/>
      </c>
      <c r="I52" s="25" t="str">
        <f t="shared" si="10"/>
        <v/>
      </c>
      <c r="J52" s="25" t="str">
        <f t="shared" si="10"/>
        <v/>
      </c>
      <c r="K52" s="25" t="str">
        <f t="shared" si="10"/>
        <v/>
      </c>
      <c r="L52" s="169" t="str">
        <f t="shared" si="10"/>
        <v/>
      </c>
      <c r="M52" s="169"/>
      <c r="N52" s="169"/>
      <c r="O52" s="169"/>
      <c r="P52" s="169"/>
      <c r="Q52" s="169"/>
      <c r="R52" s="169"/>
      <c r="S52" s="26" t="str">
        <f t="shared" ref="S52:S65" si="12">IF(S17="","",S17)</f>
        <v/>
      </c>
      <c r="IW52" s="2">
        <v>7</v>
      </c>
      <c r="IX52" s="2" t="s">
        <v>46</v>
      </c>
    </row>
    <row r="53" spans="2:258" ht="17.25" customHeight="1" x14ac:dyDescent="0.25">
      <c r="B53" s="23" t="str">
        <f t="shared" si="1"/>
        <v/>
      </c>
      <c r="C53" s="28" t="str">
        <f t="shared" si="1"/>
        <v/>
      </c>
      <c r="D53" s="29" t="str">
        <f t="shared" si="8"/>
        <v/>
      </c>
      <c r="E53" s="25" t="str">
        <f t="shared" si="6"/>
        <v/>
      </c>
      <c r="F53" s="25" t="str">
        <f t="shared" si="6"/>
        <v/>
      </c>
      <c r="G53" s="28" t="str">
        <f t="shared" si="6"/>
        <v/>
      </c>
      <c r="H53" s="25" t="str">
        <f t="shared" si="6"/>
        <v/>
      </c>
      <c r="I53" s="25" t="str">
        <f t="shared" si="10"/>
        <v/>
      </c>
      <c r="J53" s="25" t="str">
        <f t="shared" si="10"/>
        <v/>
      </c>
      <c r="K53" s="25" t="str">
        <f t="shared" si="10"/>
        <v/>
      </c>
      <c r="L53" s="154" t="str">
        <f t="shared" si="10"/>
        <v/>
      </c>
      <c r="M53" s="154" t="str">
        <f t="shared" ref="M53:R58" si="13">IF(M18="","",M18)</f>
        <v/>
      </c>
      <c r="N53" s="154" t="str">
        <f t="shared" si="13"/>
        <v/>
      </c>
      <c r="O53" s="154" t="str">
        <f t="shared" si="13"/>
        <v/>
      </c>
      <c r="P53" s="154" t="str">
        <f t="shared" si="13"/>
        <v/>
      </c>
      <c r="Q53" s="154" t="str">
        <f t="shared" si="13"/>
        <v/>
      </c>
      <c r="R53" s="154" t="str">
        <f t="shared" si="13"/>
        <v/>
      </c>
      <c r="S53" s="26" t="str">
        <f t="shared" si="12"/>
        <v/>
      </c>
      <c r="IW53" s="2">
        <v>8</v>
      </c>
      <c r="IX53" s="2" t="s">
        <v>47</v>
      </c>
    </row>
    <row r="54" spans="2:258" ht="17.25" customHeight="1" x14ac:dyDescent="0.25">
      <c r="B54" s="23" t="str">
        <f t="shared" si="1"/>
        <v/>
      </c>
      <c r="C54" s="28" t="str">
        <f t="shared" si="1"/>
        <v/>
      </c>
      <c r="D54" s="29" t="str">
        <f t="shared" si="8"/>
        <v/>
      </c>
      <c r="E54" s="25" t="str">
        <f t="shared" si="6"/>
        <v/>
      </c>
      <c r="F54" s="25" t="str">
        <f t="shared" si="6"/>
        <v/>
      </c>
      <c r="G54" s="28" t="str">
        <f t="shared" si="6"/>
        <v/>
      </c>
      <c r="H54" s="25" t="str">
        <f t="shared" si="6"/>
        <v/>
      </c>
      <c r="I54" s="25" t="str">
        <f t="shared" si="10"/>
        <v/>
      </c>
      <c r="J54" s="25" t="str">
        <f t="shared" si="10"/>
        <v/>
      </c>
      <c r="K54" s="25" t="str">
        <f t="shared" si="10"/>
        <v/>
      </c>
      <c r="L54" s="25" t="str">
        <f t="shared" si="10"/>
        <v/>
      </c>
      <c r="M54" s="154" t="str">
        <f t="shared" si="13"/>
        <v/>
      </c>
      <c r="N54" s="154" t="str">
        <f t="shared" si="13"/>
        <v/>
      </c>
      <c r="O54" s="154" t="str">
        <f t="shared" si="13"/>
        <v/>
      </c>
      <c r="P54" s="154" t="str">
        <f t="shared" si="13"/>
        <v/>
      </c>
      <c r="Q54" s="154" t="str">
        <f t="shared" si="13"/>
        <v/>
      </c>
      <c r="R54" s="154" t="str">
        <f t="shared" si="13"/>
        <v/>
      </c>
      <c r="S54" s="26" t="str">
        <f t="shared" si="12"/>
        <v/>
      </c>
      <c r="IW54" s="2">
        <v>9</v>
      </c>
      <c r="IX54" s="2" t="s">
        <v>48</v>
      </c>
    </row>
    <row r="55" spans="2:258" ht="15.75" thickBot="1" x14ac:dyDescent="0.3">
      <c r="B55" s="23" t="str">
        <f t="shared" si="1"/>
        <v/>
      </c>
      <c r="C55" s="25" t="str">
        <f t="shared" si="1"/>
        <v/>
      </c>
      <c r="D55" s="25" t="str">
        <f t="shared" si="8"/>
        <v/>
      </c>
      <c r="E55" s="25" t="str">
        <f t="shared" si="6"/>
        <v/>
      </c>
      <c r="F55" s="25" t="str">
        <f t="shared" si="6"/>
        <v/>
      </c>
      <c r="G55" s="25" t="str">
        <f t="shared" si="6"/>
        <v/>
      </c>
      <c r="H55" s="25" t="str">
        <f t="shared" si="6"/>
        <v/>
      </c>
      <c r="I55" s="25" t="str">
        <f t="shared" si="10"/>
        <v/>
      </c>
      <c r="J55" s="25" t="str">
        <f t="shared" si="10"/>
        <v/>
      </c>
      <c r="K55" s="25" t="str">
        <f t="shared" si="10"/>
        <v/>
      </c>
      <c r="L55" s="25" t="str">
        <f t="shared" si="10"/>
        <v/>
      </c>
      <c r="M55" s="25" t="str">
        <f t="shared" si="13"/>
        <v/>
      </c>
      <c r="N55" s="25" t="str">
        <f t="shared" si="13"/>
        <v/>
      </c>
      <c r="O55" s="25" t="str">
        <f t="shared" si="13"/>
        <v/>
      </c>
      <c r="P55" s="25" t="str">
        <f t="shared" si="13"/>
        <v/>
      </c>
      <c r="Q55" s="25" t="str">
        <f t="shared" si="13"/>
        <v/>
      </c>
      <c r="R55" s="25" t="str">
        <f t="shared" si="13"/>
        <v/>
      </c>
      <c r="S55" s="26" t="str">
        <f t="shared" si="12"/>
        <v/>
      </c>
      <c r="IW55" s="2">
        <v>10</v>
      </c>
      <c r="IX55" s="2" t="s">
        <v>49</v>
      </c>
    </row>
    <row r="56" spans="2:258" ht="18" customHeight="1" x14ac:dyDescent="0.25">
      <c r="B56" s="23" t="str">
        <f t="shared" si="1"/>
        <v/>
      </c>
      <c r="C56" s="150" t="str">
        <f t="shared" si="1"/>
        <v>V/ N.º Contribuinte</v>
      </c>
      <c r="D56" s="150" t="str">
        <f t="shared" si="8"/>
        <v/>
      </c>
      <c r="E56" s="170" t="str">
        <f>IF(E21="","",E21)</f>
        <v>Data do Recibo</v>
      </c>
      <c r="F56" s="171"/>
      <c r="G56" s="171"/>
      <c r="H56" s="172"/>
      <c r="I56" s="150" t="str">
        <f t="shared" si="10"/>
        <v>Documento</v>
      </c>
      <c r="J56" s="150" t="str">
        <f t="shared" si="10"/>
        <v/>
      </c>
      <c r="K56" s="150" t="str">
        <f t="shared" si="10"/>
        <v/>
      </c>
      <c r="L56" s="150" t="str">
        <f t="shared" si="10"/>
        <v>Número do Recibo</v>
      </c>
      <c r="M56" s="150" t="str">
        <f t="shared" si="13"/>
        <v/>
      </c>
      <c r="N56" s="150" t="str">
        <f t="shared" si="13"/>
        <v/>
      </c>
      <c r="O56" s="150" t="str">
        <f t="shared" si="13"/>
        <v/>
      </c>
      <c r="P56" s="150" t="str">
        <f t="shared" si="13"/>
        <v/>
      </c>
      <c r="Q56" s="150" t="str">
        <f t="shared" si="13"/>
        <v/>
      </c>
      <c r="R56" s="150" t="str">
        <f t="shared" si="13"/>
        <v/>
      </c>
      <c r="S56" s="26" t="str">
        <f t="shared" si="12"/>
        <v/>
      </c>
      <c r="IW56" s="2">
        <v>11</v>
      </c>
      <c r="IX56" s="2" t="s">
        <v>50</v>
      </c>
    </row>
    <row r="57" spans="2:258" ht="20.25" thickBot="1" x14ac:dyDescent="0.3">
      <c r="B57" s="23" t="str">
        <f t="shared" si="1"/>
        <v/>
      </c>
      <c r="C57" s="167" t="str">
        <f t="shared" si="1"/>
        <v/>
      </c>
      <c r="D57" s="167" t="str">
        <f t="shared" si="8"/>
        <v/>
      </c>
      <c r="E57" s="173" t="str">
        <f>IF(E22="","",E22)</f>
        <v/>
      </c>
      <c r="F57" s="174"/>
      <c r="G57" s="174"/>
      <c r="H57" s="175"/>
      <c r="I57" s="168" t="s">
        <v>56</v>
      </c>
      <c r="J57" s="168" t="str">
        <f t="shared" ref="J57:L59" si="14">IF(J22="","",J22)</f>
        <v/>
      </c>
      <c r="K57" s="168" t="str">
        <f t="shared" si="14"/>
        <v/>
      </c>
      <c r="L57" s="162" t="str">
        <f t="shared" si="14"/>
        <v/>
      </c>
      <c r="M57" s="162" t="str">
        <f t="shared" si="13"/>
        <v/>
      </c>
      <c r="N57" s="162" t="str">
        <f t="shared" si="13"/>
        <v/>
      </c>
      <c r="O57" s="162" t="str">
        <f t="shared" si="13"/>
        <v/>
      </c>
      <c r="P57" s="162" t="str">
        <f t="shared" si="13"/>
        <v/>
      </c>
      <c r="Q57" s="162" t="str">
        <f t="shared" si="13"/>
        <v/>
      </c>
      <c r="R57" s="162" t="str">
        <f t="shared" si="13"/>
        <v/>
      </c>
      <c r="S57" s="26" t="str">
        <f t="shared" si="12"/>
        <v/>
      </c>
      <c r="IW57" s="2">
        <v>12</v>
      </c>
      <c r="IX57" s="2" t="s">
        <v>51</v>
      </c>
    </row>
    <row r="58" spans="2:258" x14ac:dyDescent="0.25">
      <c r="B58" s="23" t="str">
        <f t="shared" si="1"/>
        <v/>
      </c>
      <c r="C58" s="25" t="str">
        <f t="shared" si="1"/>
        <v/>
      </c>
      <c r="D58" s="25" t="str">
        <f t="shared" si="8"/>
        <v/>
      </c>
      <c r="E58" s="25" t="str">
        <f>IF(E23="","",E23)</f>
        <v/>
      </c>
      <c r="F58" s="25" t="str">
        <f t="shared" ref="F58:I59" si="15">IF(F23="","",F23)</f>
        <v/>
      </c>
      <c r="G58" s="25" t="str">
        <f t="shared" si="15"/>
        <v/>
      </c>
      <c r="H58" s="25" t="str">
        <f t="shared" si="15"/>
        <v/>
      </c>
      <c r="I58" s="25" t="str">
        <f t="shared" si="15"/>
        <v/>
      </c>
      <c r="J58" s="25" t="str">
        <f t="shared" si="14"/>
        <v/>
      </c>
      <c r="K58" s="25" t="str">
        <f t="shared" si="14"/>
        <v/>
      </c>
      <c r="L58" s="25" t="str">
        <f t="shared" si="14"/>
        <v/>
      </c>
      <c r="M58" s="25" t="str">
        <f t="shared" si="13"/>
        <v/>
      </c>
      <c r="N58" s="25" t="str">
        <f t="shared" si="13"/>
        <v/>
      </c>
      <c r="O58" s="25" t="str">
        <f t="shared" si="13"/>
        <v/>
      </c>
      <c r="P58" s="25" t="str">
        <f t="shared" si="13"/>
        <v/>
      </c>
      <c r="Q58" s="25" t="str">
        <f t="shared" si="13"/>
        <v/>
      </c>
      <c r="R58" s="25" t="str">
        <f t="shared" si="13"/>
        <v/>
      </c>
      <c r="S58" s="26" t="str">
        <f t="shared" si="12"/>
        <v/>
      </c>
    </row>
    <row r="59" spans="2:258" x14ac:dyDescent="0.25">
      <c r="B59" s="23" t="str">
        <f t="shared" si="1"/>
        <v/>
      </c>
      <c r="C59" s="24" t="str">
        <f t="shared" si="1"/>
        <v>Descritivo:</v>
      </c>
      <c r="D59" s="25" t="str">
        <f t="shared" si="8"/>
        <v/>
      </c>
      <c r="E59" s="25" t="str">
        <f>IF(E24="","",E24)</f>
        <v/>
      </c>
      <c r="F59" s="25" t="str">
        <f t="shared" si="15"/>
        <v/>
      </c>
      <c r="G59" s="25" t="str">
        <f t="shared" si="15"/>
        <v/>
      </c>
      <c r="H59" s="25" t="str">
        <f t="shared" si="15"/>
        <v/>
      </c>
      <c r="I59" s="25" t="str">
        <f t="shared" si="15"/>
        <v/>
      </c>
      <c r="J59" s="25" t="str">
        <f t="shared" si="14"/>
        <v/>
      </c>
      <c r="K59" s="25" t="str">
        <f t="shared" si="14"/>
        <v/>
      </c>
      <c r="L59" s="25" t="str">
        <f t="shared" si="14"/>
        <v/>
      </c>
      <c r="M59" s="25" t="str">
        <f t="shared" ref="M59:N65" si="16">IF(M24="","",M24)</f>
        <v/>
      </c>
      <c r="N59" s="25" t="str">
        <f t="shared" si="16"/>
        <v/>
      </c>
      <c r="O59" s="165" t="str">
        <f>IF(P24="","",P24)</f>
        <v/>
      </c>
      <c r="P59" s="165"/>
      <c r="Q59" s="25" t="str">
        <f t="shared" ref="Q59:R65" si="17">IF(Q24="","",Q24)</f>
        <v/>
      </c>
      <c r="R59" s="32" t="str">
        <f t="shared" si="17"/>
        <v/>
      </c>
      <c r="S59" s="26" t="str">
        <f t="shared" si="12"/>
        <v/>
      </c>
    </row>
    <row r="60" spans="2:258" ht="23.25" customHeight="1" x14ac:dyDescent="0.25">
      <c r="B60" s="23" t="str">
        <f t="shared" si="1"/>
        <v/>
      </c>
      <c r="C60" s="177" t="str">
        <f t="shared" si="1"/>
        <v>Arrendamento da propriedade sita em:</v>
      </c>
      <c r="D60" s="177"/>
      <c r="E60" s="177"/>
      <c r="F60" s="177"/>
      <c r="G60" s="177"/>
      <c r="H60" s="177"/>
      <c r="I60" s="177"/>
      <c r="J60" s="177"/>
      <c r="K60" s="177"/>
      <c r="L60" s="25" t="str">
        <f t="shared" ref="L60:L65" si="18">IF(L25="","",L25)</f>
        <v/>
      </c>
      <c r="M60" s="25" t="str">
        <f t="shared" si="16"/>
        <v/>
      </c>
      <c r="N60" s="25" t="str">
        <f t="shared" si="16"/>
        <v/>
      </c>
      <c r="O60" s="165" t="str">
        <f>IF(P25="","",P25)</f>
        <v>Valor da Renda:</v>
      </c>
      <c r="P60" s="165"/>
      <c r="Q60" s="25" t="str">
        <f t="shared" si="17"/>
        <v/>
      </c>
      <c r="R60" s="32">
        <f t="shared" si="17"/>
        <v>0</v>
      </c>
      <c r="S60" s="26" t="str">
        <f t="shared" si="12"/>
        <v/>
      </c>
    </row>
    <row r="61" spans="2:258" ht="23.25" customHeight="1" x14ac:dyDescent="0.25">
      <c r="B61" s="23" t="str">
        <f t="shared" si="1"/>
        <v/>
      </c>
      <c r="C61" s="154" t="str">
        <f t="shared" si="1"/>
        <v/>
      </c>
      <c r="D61" s="154" t="str">
        <f t="shared" ref="D61:K61" si="19">IF(D26="","",D26)</f>
        <v/>
      </c>
      <c r="E61" s="154" t="str">
        <f t="shared" si="19"/>
        <v/>
      </c>
      <c r="F61" s="154" t="str">
        <f t="shared" si="19"/>
        <v/>
      </c>
      <c r="G61" s="154" t="str">
        <f t="shared" si="19"/>
        <v/>
      </c>
      <c r="H61" s="154" t="str">
        <f t="shared" si="19"/>
        <v/>
      </c>
      <c r="I61" s="154" t="str">
        <f t="shared" si="19"/>
        <v/>
      </c>
      <c r="J61" s="154" t="str">
        <f t="shared" si="19"/>
        <v/>
      </c>
      <c r="K61" s="154" t="str">
        <f t="shared" si="19"/>
        <v/>
      </c>
      <c r="L61" s="25" t="str">
        <f t="shared" si="18"/>
        <v/>
      </c>
      <c r="M61" s="25" t="str">
        <f t="shared" si="16"/>
        <v/>
      </c>
      <c r="N61" s="25" t="str">
        <f t="shared" si="16"/>
        <v/>
      </c>
      <c r="O61" s="179" t="str">
        <f>IF(P26="","",P26)</f>
        <v>Retenção na Fonte:</v>
      </c>
      <c r="P61" s="179"/>
      <c r="Q61" s="94">
        <f t="shared" si="17"/>
        <v>0</v>
      </c>
      <c r="R61" s="35">
        <f t="shared" si="17"/>
        <v>0</v>
      </c>
      <c r="S61" s="26" t="str">
        <f t="shared" si="12"/>
        <v/>
      </c>
    </row>
    <row r="62" spans="2:258" ht="23.25" customHeight="1" x14ac:dyDescent="0.25">
      <c r="B62" s="23" t="str">
        <f t="shared" si="1"/>
        <v/>
      </c>
      <c r="C62" s="177" t="str">
        <f t="shared" si="1"/>
        <v/>
      </c>
      <c r="D62" s="177"/>
      <c r="E62" s="177"/>
      <c r="F62" s="177"/>
      <c r="G62" s="177"/>
      <c r="H62" s="177"/>
      <c r="I62" s="177"/>
      <c r="J62" s="177"/>
      <c r="K62" s="177"/>
      <c r="L62" s="25" t="str">
        <f t="shared" si="18"/>
        <v/>
      </c>
      <c r="M62" s="25" t="str">
        <f t="shared" si="16"/>
        <v/>
      </c>
      <c r="N62" s="25" t="str">
        <f t="shared" si="16"/>
        <v/>
      </c>
      <c r="O62" s="36" t="str">
        <f>IF(O27="","",O27)</f>
        <v/>
      </c>
      <c r="P62" s="37" t="str">
        <f>IF(P27="","",P27)</f>
        <v>Subtotal:</v>
      </c>
      <c r="Q62" s="36" t="str">
        <f t="shared" si="17"/>
        <v/>
      </c>
      <c r="R62" s="38">
        <f t="shared" si="17"/>
        <v>0</v>
      </c>
      <c r="S62" s="26" t="str">
        <f t="shared" si="12"/>
        <v/>
      </c>
    </row>
    <row r="63" spans="2:258" ht="23.25" customHeight="1" x14ac:dyDescent="0.25">
      <c r="B63" s="23" t="str">
        <f t="shared" si="1"/>
        <v/>
      </c>
      <c r="C63" s="33" t="str">
        <f t="shared" si="1"/>
        <v/>
      </c>
      <c r="D63" s="25" t="str">
        <f t="shared" ref="D63:K65" si="20">IF(D28="","",D28)</f>
        <v/>
      </c>
      <c r="E63" s="25" t="str">
        <f t="shared" si="20"/>
        <v/>
      </c>
      <c r="F63" s="25" t="str">
        <f t="shared" si="20"/>
        <v/>
      </c>
      <c r="G63" s="25" t="str">
        <f t="shared" si="20"/>
        <v/>
      </c>
      <c r="H63" s="25" t="str">
        <f t="shared" si="20"/>
        <v/>
      </c>
      <c r="I63" s="25" t="str">
        <f t="shared" si="20"/>
        <v/>
      </c>
      <c r="J63" s="25" t="str">
        <f t="shared" si="20"/>
        <v/>
      </c>
      <c r="K63" s="25" t="str">
        <f t="shared" si="20"/>
        <v/>
      </c>
      <c r="L63" s="25" t="str">
        <f t="shared" si="18"/>
        <v/>
      </c>
      <c r="M63" s="25" t="str">
        <f t="shared" si="16"/>
        <v/>
      </c>
      <c r="N63" s="25" t="str">
        <f t="shared" si="16"/>
        <v/>
      </c>
      <c r="O63" s="25" t="str">
        <f>IF(O28="","",O28)</f>
        <v/>
      </c>
      <c r="P63" s="31" t="str">
        <f>IF(P28="","",P28)</f>
        <v>IVA:</v>
      </c>
      <c r="Q63" s="34">
        <f t="shared" si="17"/>
        <v>0</v>
      </c>
      <c r="R63" s="35">
        <f t="shared" si="17"/>
        <v>0</v>
      </c>
      <c r="S63" s="26" t="str">
        <f t="shared" si="12"/>
        <v/>
      </c>
    </row>
    <row r="64" spans="2:258" ht="23.25" customHeight="1" thickBot="1" x14ac:dyDescent="0.3">
      <c r="B64" s="23" t="str">
        <f t="shared" si="1"/>
        <v/>
      </c>
      <c r="C64" s="25" t="str">
        <f t="shared" si="1"/>
        <v/>
      </c>
      <c r="D64" s="25" t="str">
        <f t="shared" si="20"/>
        <v/>
      </c>
      <c r="E64" s="25" t="str">
        <f t="shared" si="20"/>
        <v/>
      </c>
      <c r="F64" s="25" t="str">
        <f t="shared" si="20"/>
        <v/>
      </c>
      <c r="G64" s="25" t="str">
        <f t="shared" si="20"/>
        <v/>
      </c>
      <c r="H64" s="25" t="str">
        <f t="shared" si="20"/>
        <v/>
      </c>
      <c r="I64" s="25" t="str">
        <f t="shared" si="20"/>
        <v/>
      </c>
      <c r="J64" s="25" t="str">
        <f t="shared" si="20"/>
        <v/>
      </c>
      <c r="K64" s="25" t="str">
        <f t="shared" si="20"/>
        <v/>
      </c>
      <c r="L64" s="25" t="str">
        <f t="shared" si="18"/>
        <v/>
      </c>
      <c r="M64" s="25" t="str">
        <f t="shared" si="16"/>
        <v/>
      </c>
      <c r="N64" s="25" t="str">
        <f t="shared" si="16"/>
        <v/>
      </c>
      <c r="O64" s="164" t="str">
        <f>IF(P29="","",P29)</f>
        <v>Total a Pagar:</v>
      </c>
      <c r="P64" s="164"/>
      <c r="Q64" s="39" t="str">
        <f t="shared" si="17"/>
        <v/>
      </c>
      <c r="R64" s="41">
        <f t="shared" si="17"/>
        <v>0</v>
      </c>
      <c r="S64" s="26" t="str">
        <f t="shared" si="12"/>
        <v/>
      </c>
    </row>
    <row r="65" spans="2:19" ht="15.75" thickTop="1" x14ac:dyDescent="0.25">
      <c r="B65" s="23" t="str">
        <f t="shared" si="1"/>
        <v/>
      </c>
      <c r="C65" s="25" t="str">
        <f t="shared" si="1"/>
        <v/>
      </c>
      <c r="D65" s="25" t="str">
        <f t="shared" si="20"/>
        <v/>
      </c>
      <c r="E65" s="25" t="str">
        <f t="shared" si="20"/>
        <v/>
      </c>
      <c r="F65" s="25" t="str">
        <f t="shared" si="20"/>
        <v/>
      </c>
      <c r="G65" s="25" t="str">
        <f t="shared" si="20"/>
        <v/>
      </c>
      <c r="H65" s="25" t="str">
        <f t="shared" si="20"/>
        <v/>
      </c>
      <c r="I65" s="25" t="str">
        <f t="shared" si="20"/>
        <v/>
      </c>
      <c r="J65" s="25" t="str">
        <f t="shared" si="20"/>
        <v/>
      </c>
      <c r="K65" s="25" t="str">
        <f t="shared" si="20"/>
        <v/>
      </c>
      <c r="L65" s="25" t="str">
        <f t="shared" si="18"/>
        <v/>
      </c>
      <c r="M65" s="25" t="str">
        <f t="shared" si="16"/>
        <v/>
      </c>
      <c r="N65" s="25" t="str">
        <f t="shared" si="16"/>
        <v/>
      </c>
      <c r="O65" s="25" t="str">
        <f>IF(O30="","",O30)</f>
        <v/>
      </c>
      <c r="P65" s="25" t="str">
        <f>IF(P30="","",P30)</f>
        <v/>
      </c>
      <c r="Q65" s="25" t="str">
        <f t="shared" si="17"/>
        <v/>
      </c>
      <c r="R65" s="25" t="str">
        <f t="shared" si="17"/>
        <v/>
      </c>
      <c r="S65" s="26" t="str">
        <f t="shared" si="12"/>
        <v/>
      </c>
    </row>
    <row r="66" spans="2:19" x14ac:dyDescent="0.25">
      <c r="B66" s="23"/>
      <c r="C66" s="25"/>
      <c r="D66" s="25"/>
      <c r="E66" s="25"/>
      <c r="F66" s="25"/>
      <c r="G66" s="25"/>
      <c r="H66" s="25"/>
      <c r="I66" s="166" t="str">
        <f ca="1">IF(R31="","",R31)</f>
        <v/>
      </c>
      <c r="J66" s="166"/>
      <c r="K66" s="166"/>
      <c r="L66" s="166"/>
      <c r="M66" s="166"/>
      <c r="N66" s="166"/>
      <c r="O66" s="166"/>
      <c r="P66" s="166"/>
      <c r="Q66" s="166"/>
      <c r="R66" s="166"/>
      <c r="S66" s="26"/>
    </row>
    <row r="67" spans="2:19" x14ac:dyDescent="0.25">
      <c r="B67" s="23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6"/>
    </row>
    <row r="68" spans="2:19" x14ac:dyDescent="0.25">
      <c r="B68" s="23" t="str">
        <f t="shared" ref="B68:S68" si="21">IF(B33="","",B33)</f>
        <v/>
      </c>
      <c r="C68" s="163" t="str">
        <f t="shared" si="21"/>
        <v>Assinatura do senhorio(a)</v>
      </c>
      <c r="D68" s="163" t="str">
        <f t="shared" si="21"/>
        <v/>
      </c>
      <c r="E68" s="163" t="str">
        <f t="shared" si="21"/>
        <v/>
      </c>
      <c r="F68" s="163" t="str">
        <f t="shared" si="21"/>
        <v/>
      </c>
      <c r="G68" s="163" t="str">
        <f t="shared" si="21"/>
        <v/>
      </c>
      <c r="H68" s="25" t="str">
        <f t="shared" si="21"/>
        <v/>
      </c>
      <c r="I68" s="25" t="str">
        <f t="shared" si="21"/>
        <v/>
      </c>
      <c r="J68" s="178" t="str">
        <f t="shared" si="21"/>
        <v>Questões fiscais:</v>
      </c>
      <c r="K68" s="178"/>
      <c r="L68" s="25" t="str">
        <f t="shared" si="21"/>
        <v/>
      </c>
      <c r="M68" s="25" t="str">
        <f t="shared" si="21"/>
        <v/>
      </c>
      <c r="N68" s="25" t="str">
        <f t="shared" si="21"/>
        <v/>
      </c>
      <c r="O68" s="25" t="str">
        <f t="shared" si="21"/>
        <v/>
      </c>
      <c r="P68" s="25" t="str">
        <f t="shared" si="21"/>
        <v/>
      </c>
      <c r="Q68" s="25" t="str">
        <f t="shared" si="21"/>
        <v/>
      </c>
      <c r="R68" s="25" t="str">
        <f t="shared" si="21"/>
        <v/>
      </c>
      <c r="S68" s="26" t="str">
        <f t="shared" si="21"/>
        <v/>
      </c>
    </row>
    <row r="69" spans="2:19" x14ac:dyDescent="0.25">
      <c r="B69" s="23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131" t="str">
        <f>IF(AND('Dados a Colocar'!$B$26="X",'Dados a Colocar'!$N$26="sim"),"Sem retenção de IRS ao abrigo do n.º1 do art. 9º do Dec. Lei 42/91 de 22 de Janeiro","")</f>
        <v/>
      </c>
      <c r="Q69" s="83" t="str">
        <f>IF(Q34=0,"",Q34)</f>
        <v/>
      </c>
      <c r="R69" s="25"/>
      <c r="S69" s="26"/>
    </row>
    <row r="70" spans="2:19" ht="6" customHeight="1" x14ac:dyDescent="0.25">
      <c r="B70" s="23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6"/>
    </row>
    <row r="71" spans="2:19" x14ac:dyDescent="0.25">
      <c r="B71" s="23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131" t="str">
        <f>IF($R$29=0,"",IF($Q$38="X","","IVA isento ao abrigo do n.º 30 do artigo 9º do CIVA"))</f>
        <v/>
      </c>
      <c r="Q71" s="83" t="str">
        <f>IF(Q36=0,"",Q36)</f>
        <v/>
      </c>
      <c r="R71" s="25"/>
      <c r="S71" s="26"/>
    </row>
    <row r="72" spans="2:19" ht="6" customHeight="1" x14ac:dyDescent="0.25">
      <c r="B72" s="23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6"/>
    </row>
    <row r="73" spans="2:19" ht="13.5" customHeight="1" x14ac:dyDescent="0.25">
      <c r="B73" s="23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131" t="str">
        <f>IF('Dados a Colocar'!$G$26="X","Tem que liquidar IVA? (por ser uma sociedade gestora de fundos ou solicitação do levantamento de isenção)","")</f>
        <v/>
      </c>
      <c r="Q73" s="83" t="str">
        <f>IF(Q38=0,"",Q38)</f>
        <v/>
      </c>
      <c r="R73" s="25"/>
      <c r="S73" s="26"/>
    </row>
    <row r="74" spans="2:19" ht="6" customHeight="1" x14ac:dyDescent="0.25">
      <c r="B74" s="23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</row>
    <row r="75" spans="2:19" ht="6" customHeight="1" x14ac:dyDescent="0.25">
      <c r="B75" s="23" t="str">
        <f t="shared" ref="B75:S75" si="22">IF(B39="","",B39)</f>
        <v/>
      </c>
      <c r="C75" s="25" t="str">
        <f t="shared" si="22"/>
        <v/>
      </c>
      <c r="D75" s="25" t="str">
        <f t="shared" si="22"/>
        <v/>
      </c>
      <c r="E75" s="25" t="str">
        <f t="shared" si="22"/>
        <v/>
      </c>
      <c r="F75" s="25" t="str">
        <f t="shared" si="22"/>
        <v/>
      </c>
      <c r="G75" s="25" t="str">
        <f t="shared" si="22"/>
        <v/>
      </c>
      <c r="H75" s="25" t="str">
        <f t="shared" si="22"/>
        <v/>
      </c>
      <c r="I75" s="25" t="str">
        <f t="shared" si="22"/>
        <v/>
      </c>
      <c r="J75" s="25" t="str">
        <f t="shared" si="22"/>
        <v/>
      </c>
      <c r="K75" s="25" t="str">
        <f t="shared" si="22"/>
        <v/>
      </c>
      <c r="L75" s="25" t="str">
        <f t="shared" si="22"/>
        <v/>
      </c>
      <c r="M75" s="25" t="str">
        <f t="shared" si="22"/>
        <v/>
      </c>
      <c r="N75" s="25" t="str">
        <f t="shared" si="22"/>
        <v/>
      </c>
      <c r="O75" s="25" t="str">
        <f t="shared" si="22"/>
        <v/>
      </c>
      <c r="P75" s="25" t="str">
        <f t="shared" si="22"/>
        <v/>
      </c>
      <c r="Q75" s="25" t="str">
        <f t="shared" si="22"/>
        <v/>
      </c>
      <c r="R75" s="25" t="str">
        <f t="shared" si="22"/>
        <v/>
      </c>
      <c r="S75" s="26" t="str">
        <f t="shared" si="22"/>
        <v/>
      </c>
    </row>
    <row r="76" spans="2:19" x14ac:dyDescent="0.25">
      <c r="B76" s="44" t="str">
        <f t="shared" ref="B76:S76" si="23">IF(B40="","",B40)</f>
        <v/>
      </c>
      <c r="C76" s="45" t="str">
        <f t="shared" si="23"/>
        <v>Contactos:</v>
      </c>
      <c r="D76" s="46" t="str">
        <f t="shared" si="23"/>
        <v/>
      </c>
      <c r="E76" s="151" t="str">
        <f t="shared" si="23"/>
        <v/>
      </c>
      <c r="F76" s="151" t="str">
        <f t="shared" si="23"/>
        <v/>
      </c>
      <c r="G76" s="152" t="str">
        <f t="shared" si="23"/>
        <v/>
      </c>
      <c r="H76" s="152" t="str">
        <f t="shared" si="23"/>
        <v/>
      </c>
      <c r="I76" s="151" t="str">
        <f t="shared" si="23"/>
        <v/>
      </c>
      <c r="J76" s="151" t="str">
        <f t="shared" si="23"/>
        <v/>
      </c>
      <c r="K76" s="151" t="str">
        <f t="shared" si="23"/>
        <v/>
      </c>
      <c r="L76" s="151" t="str">
        <f t="shared" si="23"/>
        <v/>
      </c>
      <c r="M76" s="46" t="str">
        <f t="shared" si="23"/>
        <v/>
      </c>
      <c r="N76" s="153" t="str">
        <f t="shared" si="23"/>
        <v/>
      </c>
      <c r="O76" s="153" t="str">
        <f t="shared" si="23"/>
        <v/>
      </c>
      <c r="P76" s="153" t="str">
        <f t="shared" si="23"/>
        <v/>
      </c>
      <c r="Q76" s="153" t="str">
        <f t="shared" si="23"/>
        <v/>
      </c>
      <c r="R76" s="153" t="str">
        <f t="shared" si="23"/>
        <v/>
      </c>
      <c r="S76" s="26" t="str">
        <f t="shared" si="23"/>
        <v/>
      </c>
    </row>
    <row r="77" spans="2:19" ht="6" customHeight="1" x14ac:dyDescent="0.25">
      <c r="B77" s="44" t="str">
        <f t="shared" ref="B77:S77" si="24">IF(B41="","",B41)</f>
        <v/>
      </c>
      <c r="C77" s="47" t="str">
        <f t="shared" si="24"/>
        <v/>
      </c>
      <c r="D77" s="47" t="str">
        <f t="shared" si="24"/>
        <v/>
      </c>
      <c r="E77" s="47" t="str">
        <f t="shared" si="24"/>
        <v/>
      </c>
      <c r="F77" s="47" t="str">
        <f t="shared" si="24"/>
        <v/>
      </c>
      <c r="G77" s="47" t="str">
        <f t="shared" si="24"/>
        <v/>
      </c>
      <c r="H77" s="47" t="str">
        <f t="shared" si="24"/>
        <v/>
      </c>
      <c r="I77" s="47" t="str">
        <f t="shared" si="24"/>
        <v/>
      </c>
      <c r="J77" s="47" t="str">
        <f t="shared" si="24"/>
        <v/>
      </c>
      <c r="K77" s="47" t="str">
        <f t="shared" si="24"/>
        <v/>
      </c>
      <c r="L77" s="47" t="str">
        <f t="shared" si="24"/>
        <v/>
      </c>
      <c r="M77" s="47" t="str">
        <f t="shared" si="24"/>
        <v/>
      </c>
      <c r="N77" s="47" t="str">
        <f t="shared" si="24"/>
        <v/>
      </c>
      <c r="O77" s="47" t="str">
        <f t="shared" si="24"/>
        <v/>
      </c>
      <c r="P77" s="47" t="str">
        <f t="shared" si="24"/>
        <v/>
      </c>
      <c r="Q77" s="47" t="str">
        <f t="shared" si="24"/>
        <v/>
      </c>
      <c r="R77" s="47" t="str">
        <f t="shared" si="24"/>
        <v/>
      </c>
      <c r="S77" s="26" t="str">
        <f t="shared" si="24"/>
        <v/>
      </c>
    </row>
    <row r="78" spans="2:19" x14ac:dyDescent="0.25">
      <c r="B78" s="44" t="str">
        <f t="shared" ref="B78:S78" si="25">IF(B42="","",B42)</f>
        <v/>
      </c>
      <c r="C78" s="45" t="str">
        <f t="shared" si="25"/>
        <v>N/ IBAN:</v>
      </c>
      <c r="D78" s="47" t="str">
        <f t="shared" si="25"/>
        <v/>
      </c>
      <c r="E78" s="47"/>
      <c r="F78" s="47"/>
      <c r="G78" s="47"/>
      <c r="H78" s="47"/>
      <c r="I78" s="47"/>
      <c r="J78" s="47"/>
      <c r="K78" s="47"/>
      <c r="L78" s="47"/>
      <c r="M78" s="47" t="str">
        <f t="shared" si="25"/>
        <v/>
      </c>
      <c r="N78" s="47" t="str">
        <f t="shared" si="25"/>
        <v/>
      </c>
      <c r="O78" s="47" t="str">
        <f t="shared" si="25"/>
        <v/>
      </c>
      <c r="P78" s="47" t="str">
        <f t="shared" si="25"/>
        <v/>
      </c>
      <c r="Q78" s="47" t="str">
        <f t="shared" si="25"/>
        <v/>
      </c>
      <c r="R78" s="47" t="str">
        <f t="shared" si="25"/>
        <v/>
      </c>
      <c r="S78" s="26" t="str">
        <f t="shared" si="25"/>
        <v/>
      </c>
    </row>
    <row r="79" spans="2:19" ht="9" customHeight="1" thickBot="1" x14ac:dyDescent="0.3">
      <c r="B79" s="48" t="str">
        <f t="shared" ref="B79:S79" si="26">IF(B43="","",B43)</f>
        <v/>
      </c>
      <c r="C79" s="49" t="str">
        <f t="shared" si="26"/>
        <v/>
      </c>
      <c r="D79" s="49" t="str">
        <f t="shared" si="26"/>
        <v/>
      </c>
      <c r="E79" s="49" t="str">
        <f t="shared" si="26"/>
        <v/>
      </c>
      <c r="F79" s="49" t="str">
        <f t="shared" si="26"/>
        <v/>
      </c>
      <c r="G79" s="49" t="str">
        <f t="shared" si="26"/>
        <v/>
      </c>
      <c r="H79" s="49" t="str">
        <f t="shared" si="26"/>
        <v/>
      </c>
      <c r="I79" s="49" t="str">
        <f t="shared" si="26"/>
        <v/>
      </c>
      <c r="J79" s="49" t="str">
        <f t="shared" si="26"/>
        <v/>
      </c>
      <c r="K79" s="49" t="str">
        <f t="shared" si="26"/>
        <v/>
      </c>
      <c r="L79" s="49" t="str">
        <f t="shared" si="26"/>
        <v/>
      </c>
      <c r="M79" s="49" t="str">
        <f t="shared" si="26"/>
        <v/>
      </c>
      <c r="N79" s="49" t="str">
        <f t="shared" si="26"/>
        <v/>
      </c>
      <c r="O79" s="49" t="str">
        <f t="shared" si="26"/>
        <v/>
      </c>
      <c r="P79" s="49" t="str">
        <f t="shared" si="26"/>
        <v/>
      </c>
      <c r="Q79" s="49" t="str">
        <f t="shared" si="26"/>
        <v/>
      </c>
      <c r="R79" s="49" t="str">
        <f t="shared" si="26"/>
        <v/>
      </c>
      <c r="S79" s="50" t="str">
        <f t="shared" si="26"/>
        <v/>
      </c>
    </row>
  </sheetData>
  <sheetProtection password="A081" sheet="1" objects="1" scenarios="1"/>
  <mergeCells count="60">
    <mergeCell ref="J68:K68"/>
    <mergeCell ref="O60:P60"/>
    <mergeCell ref="O61:P61"/>
    <mergeCell ref="E57:H57"/>
    <mergeCell ref="C49:D49"/>
    <mergeCell ref="L51:M51"/>
    <mergeCell ref="C60:K60"/>
    <mergeCell ref="C62:K62"/>
    <mergeCell ref="L17:R17"/>
    <mergeCell ref="L52:R52"/>
    <mergeCell ref="L22:R22"/>
    <mergeCell ref="C26:K26"/>
    <mergeCell ref="E40:F40"/>
    <mergeCell ref="G40:H40"/>
    <mergeCell ref="I40:L40"/>
    <mergeCell ref="N40:R40"/>
    <mergeCell ref="C22:D22"/>
    <mergeCell ref="I21:K21"/>
    <mergeCell ref="I22:K22"/>
    <mergeCell ref="C33:G33"/>
    <mergeCell ref="L21:R21"/>
    <mergeCell ref="C47:H47"/>
    <mergeCell ref="C21:D21"/>
    <mergeCell ref="M19:R19"/>
    <mergeCell ref="B2:H2"/>
    <mergeCell ref="B4:H4"/>
    <mergeCell ref="K2:P2"/>
    <mergeCell ref="K4:P4"/>
    <mergeCell ref="K8:P8"/>
    <mergeCell ref="B6:H6"/>
    <mergeCell ref="K6:P6"/>
    <mergeCell ref="Q8:R8"/>
    <mergeCell ref="C14:D14"/>
    <mergeCell ref="D13:H13"/>
    <mergeCell ref="C12:H12"/>
    <mergeCell ref="G15:H15"/>
    <mergeCell ref="L18:R18"/>
    <mergeCell ref="D48:H48"/>
    <mergeCell ref="G50:H50"/>
    <mergeCell ref="L53:R53"/>
    <mergeCell ref="M54:R54"/>
    <mergeCell ref="C46:H46"/>
    <mergeCell ref="E21:H21"/>
    <mergeCell ref="E22:H22"/>
    <mergeCell ref="C56:D56"/>
    <mergeCell ref="I56:K56"/>
    <mergeCell ref="E76:F76"/>
    <mergeCell ref="G76:H76"/>
    <mergeCell ref="N76:R76"/>
    <mergeCell ref="I76:L76"/>
    <mergeCell ref="L57:R57"/>
    <mergeCell ref="C61:K61"/>
    <mergeCell ref="C68:G68"/>
    <mergeCell ref="O64:P64"/>
    <mergeCell ref="O59:P59"/>
    <mergeCell ref="I66:R66"/>
    <mergeCell ref="C57:D57"/>
    <mergeCell ref="I57:K57"/>
    <mergeCell ref="L56:R56"/>
    <mergeCell ref="E56:H56"/>
  </mergeCells>
  <conditionalFormatting sqref="Q34">
    <cfRule type="expression" dxfId="33" priority="15">
      <formula>$P34&lt;&gt;""</formula>
    </cfRule>
  </conditionalFormatting>
  <conditionalFormatting sqref="Q38">
    <cfRule type="expression" dxfId="32" priority="24">
      <formula>$P38&lt;&gt;""</formula>
    </cfRule>
  </conditionalFormatting>
  <conditionalFormatting sqref="Q36">
    <cfRule type="expression" dxfId="31" priority="9">
      <formula>$P36&lt;&gt;""</formula>
    </cfRule>
  </conditionalFormatting>
  <conditionalFormatting sqref="Q69">
    <cfRule type="expression" dxfId="30" priority="4">
      <formula>$P69&lt;&gt;""</formula>
    </cfRule>
  </conditionalFormatting>
  <conditionalFormatting sqref="Q71">
    <cfRule type="expression" dxfId="29" priority="2">
      <formula>$P71&lt;&gt;""</formula>
    </cfRule>
  </conditionalFormatting>
  <conditionalFormatting sqref="Q73">
    <cfRule type="expression" dxfId="28" priority="1">
      <formula>$P73&lt;&gt;""</formula>
    </cfRule>
  </conditionalFormatting>
  <dataValidations count="7">
    <dataValidation type="list" allowBlank="1" showInputMessage="1" showErrorMessage="1" sqref="I2 Q2 I4:I6 Q4:Q6 S5:S6">
      <formula1>"sim, não"</formula1>
    </dataValidation>
    <dataValidation type="textLength" allowBlank="1" showInputMessage="1" showErrorMessage="1" errorTitle="Erro" error="o n.º do recibo pode ter letras e números, mas não pode ter mais do que 4 caracteres." promptTitle="Informação" prompt="O n.º do recibo tem que ser sequêncial e por ordem cronológica (por ex. Começou a arrendar em Março, o n.º001 é do mês de Março, e o 002 é do mês de Abril, e o 003 é do mês de Maio)." sqref="H8">
      <formula1>0</formula1>
      <formula2>4</formula2>
    </dataValidation>
    <dataValidation type="list" allowBlank="1" showInputMessage="1" showErrorMessage="1" promptTitle="Retenção na Fonte" prompt="Se tiver que efectuar retenção na fonte, colocar na célula J68 da folha &quot;Dados a Colocar&quot; o valor da retenção na fonte (dede Julho 2010 é 16,5%, mas como a fiscalidade está sempre a alterar....)._x000a__x000a_Se não tiver que efectuar a retenção coloque nesta  um &quot;X&quot;" sqref="Q34 Q36">
      <formula1>"X"</formula1>
    </dataValidation>
    <dataValidation type="list" allowBlank="1" showInputMessage="1" showErrorMessage="1" promptTitle="Liquidar IVA" prompt="Se tiver que liquidar IVA, coloque nesta célula um &quot;X&quot;, mas antes, na célula N40 da folha &quot;Dados a Colocar&quot; coloque a Taxa normal de IVA (que a partir de Julho de 2010 é 20%, mas com a velocidade que a nossa fiscalidade muda ...)" sqref="Q39 Q74">
      <formula1>"X"</formula1>
    </dataValidation>
    <dataValidation allowBlank="1" showInputMessage="1" showErrorMessage="1" promptTitle="Retenção na Fonte" prompt="Se tiver que efectuar retenção na fonte, colocar na célula J68 da folha &quot;Dados a Colocar&quot; o valor da retenção na fonte (dede Julho 2010 é 16,5%, mas como a fiscalidade está sempre a alterar....)." sqref="Q26"/>
    <dataValidation type="date" allowBlank="1" showInputMessage="1" showErrorMessage="1" errorTitle="Erro na Data" error="Inserir neste campo dados que estejam num formato de data (por exemplo: 01/12/2010 e 01-12-2010), e não num formato de texto (que será o caso se escrever 01.12.2010)" sqref="D8">
      <formula1>1</formula1>
      <formula2>401768</formula2>
    </dataValidation>
    <dataValidation type="list" allowBlank="1" showInputMessage="1" showErrorMessage="1" promptTitle="Liquidar IVA" prompt="Se tiver que liquidar IVA, coloque nesta célula um &quot;X&quot;, mas antes, na célula N40 da folha &quot;Dados a Colocar&quot; coloque a Taxa normal de IVA (que a partir de Janeiro de 2011 é 23%, mas com a velocidade que a nossa fiscalidade muda ...)" sqref="Q38">
      <formula1>"X"</formula1>
    </dataValidation>
  </dataValidations>
  <hyperlinks>
    <hyperlink ref="U2" r:id="rId1"/>
  </hyperlinks>
  <printOptions horizontalCentered="1" verticalCentered="1"/>
  <pageMargins left="0.15748031496062992" right="0.19685039370078741" top="0.31496062992125984" bottom="0.19685039370078741" header="0.31496062992125984" footer="0.19685039370078741"/>
  <pageSetup paperSize="9" scale="6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4">
    <pageSetUpPr fitToPage="1"/>
  </sheetPr>
  <dimension ref="A1:XFD87"/>
  <sheetViews>
    <sheetView showGridLines="0" workbookViewId="0">
      <pane ySplit="10" topLeftCell="A11" activePane="bottomLeft" state="frozen"/>
      <selection pane="bottomLeft" activeCell="G11" sqref="G11:I18"/>
    </sheetView>
  </sheetViews>
  <sheetFormatPr defaultRowHeight="15" x14ac:dyDescent="0.25"/>
  <cols>
    <col min="1" max="1" width="9.140625" style="2"/>
    <col min="2" max="2" width="17.42578125" style="2" customWidth="1"/>
    <col min="3" max="3" width="13.28515625" style="2" customWidth="1"/>
    <col min="4" max="4" width="18.5703125" style="2" customWidth="1"/>
    <col min="5" max="5" width="19" style="2" customWidth="1"/>
    <col min="6" max="6" width="15.28515625" style="2" customWidth="1"/>
    <col min="7" max="8" width="13.5703125" style="2" customWidth="1"/>
    <col min="9" max="9" width="13.7109375" style="2" customWidth="1"/>
    <col min="10" max="16380" width="9.140625" style="2"/>
    <col min="16381" max="16381" width="9.42578125" style="2" customWidth="1"/>
    <col min="16382" max="16382" width="18.42578125" style="2" bestFit="1" customWidth="1"/>
    <col min="16383" max="16383" width="18.28515625" style="2" bestFit="1" customWidth="1"/>
    <col min="16384" max="16384" width="18.28515625" style="2" customWidth="1"/>
  </cols>
  <sheetData>
    <row r="1" spans="1:12 16382:16384" x14ac:dyDescent="0.25">
      <c r="K1" s="78" t="s">
        <v>103</v>
      </c>
    </row>
    <row r="2" spans="1:12 16382:16384" ht="20.25" thickBot="1" x14ac:dyDescent="0.3">
      <c r="B2" s="68" t="str">
        <f>"Conta-Corrente do Inquilino "&amp;'Dados a Colocar'!D56</f>
        <v xml:space="preserve">Conta-Corrente do Inquilino </v>
      </c>
      <c r="C2" s="68"/>
      <c r="D2" s="68"/>
      <c r="E2" s="68"/>
      <c r="F2" s="68"/>
      <c r="G2" s="68"/>
      <c r="H2" s="68"/>
      <c r="I2" s="68"/>
      <c r="K2" s="101" t="s">
        <v>184</v>
      </c>
    </row>
    <row r="3" spans="1:12 16382:16384" ht="15.75" thickTop="1" x14ac:dyDescent="0.25"/>
    <row r="4" spans="1:12 16382:16384" ht="15.75" x14ac:dyDescent="0.25">
      <c r="B4" s="19" t="s">
        <v>70</v>
      </c>
      <c r="C4" s="84">
        <v>2010</v>
      </c>
      <c r="E4" s="77" t="s">
        <v>25</v>
      </c>
      <c r="F4" s="186">
        <f>IF('Dados a Colocar'!E72="","",'Dados a Colocar'!E72)</f>
        <v>351918555843</v>
      </c>
      <c r="G4" s="186"/>
      <c r="H4" s="186">
        <f>IF('Dados a Colocar'!J72="","",'Dados a Colocar'!J72)</f>
        <v>351967114028</v>
      </c>
      <c r="I4" s="186"/>
    </row>
    <row r="6" spans="1:12 16382:16384" ht="15.75" x14ac:dyDescent="0.25">
      <c r="B6" s="193" t="str">
        <f>"Valor total de recibos de rendas emitidos no ano de "&amp;C4&amp;":"</f>
        <v>Valor total de recibos de rendas emitidos no ano de 2010:</v>
      </c>
      <c r="C6" s="194"/>
      <c r="D6" s="194"/>
      <c r="E6" s="194"/>
      <c r="F6" s="14">
        <f>SUMIFS($F$11:$F$83,$A$11:$A$83,$C$4,$J$11:$J$83,"Sim")-IF(AND(A11=C4,G11="sim"),F11,0)</f>
        <v>0</v>
      </c>
      <c r="H6" s="14" t="s">
        <v>245</v>
      </c>
      <c r="I6" s="14">
        <f>SUMIFS($F$11:$F$83,$A$11:$A$83,$C$4,$J$11:$J$83,"Sim")</f>
        <v>0</v>
      </c>
    </row>
    <row r="8" spans="1:12 16382:16384" ht="15.75" x14ac:dyDescent="0.25">
      <c r="B8" s="193" t="str">
        <f>"Valor total de rendas pagas pelo inquilino no ano de "&amp;C4&amp;":"</f>
        <v>Valor total de rendas pagas pelo inquilino no ano de 2010:</v>
      </c>
      <c r="C8" s="194"/>
      <c r="D8" s="194"/>
      <c r="E8" s="194"/>
      <c r="F8" s="14">
        <f>SUMIFS($F$11:$F$83,$L$11:$L$83,$C$4,$K$11:$K$83,"Sim")-IF(AND(A11=C4,I11="sim"),F11,0)</f>
        <v>0</v>
      </c>
      <c r="H8" s="14" t="s">
        <v>245</v>
      </c>
      <c r="I8" s="14">
        <f>SUMIFS($F$11:$F$83,$L$11:$L$83,$C$4,$K$11:$K$83,"Sim")</f>
        <v>0</v>
      </c>
    </row>
    <row r="10" spans="1:12 16382:16384" ht="30.75" thickBot="1" x14ac:dyDescent="0.3">
      <c r="B10" s="3" t="s">
        <v>59</v>
      </c>
      <c r="C10" s="3" t="s">
        <v>180</v>
      </c>
      <c r="D10" s="3" t="s">
        <v>16</v>
      </c>
      <c r="E10" s="3" t="s">
        <v>88</v>
      </c>
      <c r="F10" s="3" t="s">
        <v>72</v>
      </c>
      <c r="G10" s="79" t="s">
        <v>93</v>
      </c>
      <c r="H10" s="80" t="s">
        <v>179</v>
      </c>
      <c r="I10" s="80" t="s">
        <v>91</v>
      </c>
    </row>
    <row r="11" spans="1:12 16382:16384" ht="15.75" thickTop="1" x14ac:dyDescent="0.25">
      <c r="A11" s="4">
        <f>YEAR(C11)</f>
        <v>1900</v>
      </c>
      <c r="B11" s="187" t="str">
        <f>"001/"&amp;YEAR(C11)</f>
        <v>001/1900</v>
      </c>
      <c r="C11" s="190">
        <f>'Dados a Colocar'!L16</f>
        <v>0</v>
      </c>
      <c r="D11" s="5" t="s">
        <v>74</v>
      </c>
      <c r="E11" s="5"/>
      <c r="F11" s="6">
        <f>IF('Dados a Colocar'!G18="Sim",'Dados a Colocar'!M18,0)</f>
        <v>0</v>
      </c>
      <c r="G11" s="195"/>
      <c r="H11" s="180"/>
      <c r="I11" s="183"/>
      <c r="J11" s="129">
        <f>G11</f>
        <v>0</v>
      </c>
      <c r="K11" s="129">
        <f>I11</f>
        <v>0</v>
      </c>
      <c r="L11" s="4">
        <f>YEAR(H11)</f>
        <v>1900</v>
      </c>
    </row>
    <row r="12" spans="1:12 16382:16384" x14ac:dyDescent="0.25">
      <c r="A12" s="4">
        <f>YEAR(C11)</f>
        <v>1900</v>
      </c>
      <c r="B12" s="188"/>
      <c r="C12" s="191"/>
      <c r="D12" s="7" t="str">
        <f>IF('Dados a Colocar'!$G$20="sim",'Conta-Corrente'!XFB12,"")</f>
        <v/>
      </c>
      <c r="E12" s="7" t="str">
        <f>IF('Dados a Colocar'!$G$20="sim",'Conta-Corrente'!XFC12,"")</f>
        <v/>
      </c>
      <c r="F12" s="8" t="str">
        <f>IF('Dados a Colocar'!$G$20="sim",'Conta-Corrente'!XFD12,"")</f>
        <v/>
      </c>
      <c r="G12" s="196"/>
      <c r="H12" s="181"/>
      <c r="I12" s="184"/>
      <c r="J12" s="129">
        <f>G11</f>
        <v>0</v>
      </c>
      <c r="K12" s="129">
        <f>I11</f>
        <v>0</v>
      </c>
      <c r="L12" s="4">
        <f>YEAR(H11)</f>
        <v>1900</v>
      </c>
      <c r="XFB12" s="7" t="s">
        <v>75</v>
      </c>
      <c r="XFC12" s="7" t="str">
        <f>VLOOKUP(MONTH(C11),Recibo!$IW$11:$IX$22,2,FALSE)&amp;" de "&amp;$C$4</f>
        <v>Janeiro de 2010</v>
      </c>
      <c r="XFD12" s="91">
        <f>'Dados a Colocar'!$F$16</f>
        <v>0</v>
      </c>
    </row>
    <row r="13" spans="1:12 16382:16384" x14ac:dyDescent="0.25">
      <c r="A13" s="4">
        <f>YEAR(C11)</f>
        <v>1900</v>
      </c>
      <c r="B13" s="189"/>
      <c r="C13" s="192"/>
      <c r="D13" s="5" t="str">
        <f>IF('Dados a Colocar'!$G$20="sim",'Conta-Corrente'!XFB13,'Conta-Corrente'!XFB12)</f>
        <v>1.º mês de renda</v>
      </c>
      <c r="E13" s="5" t="str">
        <f>IF('Dados a Colocar'!$G$20="sim",'Conta-Corrente'!XFC13,'Conta-Corrente'!XFC12)</f>
        <v>Janeiro de 2010</v>
      </c>
      <c r="F13" s="6">
        <f>IF('Dados a Colocar'!$G$20="sim",'Conta-Corrente'!XFD13,'Conta-Corrente'!XFD12)</f>
        <v>0</v>
      </c>
      <c r="G13" s="197"/>
      <c r="H13" s="182"/>
      <c r="I13" s="185"/>
      <c r="J13" s="129">
        <f>G11</f>
        <v>0</v>
      </c>
      <c r="K13" s="129">
        <f>I11</f>
        <v>0</v>
      </c>
      <c r="L13" s="4">
        <f>YEAR(H11)</f>
        <v>1900</v>
      </c>
      <c r="XFB13" s="85" t="s">
        <v>76</v>
      </c>
      <c r="XFC13" s="85" t="str">
        <f>IFERROR(VLOOKUP(MONTH(C11)+1,Recibo!$IW$11:$IX$22,2,FALSE)&amp;" de "&amp;$C$4,VLOOKUP(MONTH(C11)-11,Recibo!$IW$11:$IX$22,2,FALSE)&amp;" de "&amp;($C$4+1))</f>
        <v>Fevereiro de 2010</v>
      </c>
      <c r="XFD13" s="91">
        <f>'Dados a Colocar'!$F$16</f>
        <v>0</v>
      </c>
    </row>
    <row r="14" spans="1:12 16382:16384" x14ac:dyDescent="0.25">
      <c r="A14" s="4">
        <f>YEAR(C14)</f>
        <v>1900</v>
      </c>
      <c r="B14" s="7" t="str">
        <f>"002/"&amp;YEAR(C14)</f>
        <v>002/1900</v>
      </c>
      <c r="C14" s="10">
        <f>EDATE(C11,1)</f>
        <v>31</v>
      </c>
      <c r="D14" s="7" t="str">
        <f>IF('Dados a Colocar'!$G$20="sim",'Conta-Corrente'!XFB14,'Conta-Corrente'!XFB13)</f>
        <v>2.º mês de renda</v>
      </c>
      <c r="E14" s="7" t="str">
        <f>IF('Dados a Colocar'!$G$20="sim",'Conta-Corrente'!XFC14,'Conta-Corrente'!XFC13)</f>
        <v>Fevereiro de 2010</v>
      </c>
      <c r="F14" s="8">
        <f>IF('Dados a Colocar'!$G$20="sim",'Conta-Corrente'!XFD14,'Conta-Corrente'!XFD13)</f>
        <v>0</v>
      </c>
      <c r="G14" s="81"/>
      <c r="H14" s="137"/>
      <c r="I14" s="82"/>
      <c r="J14" s="129">
        <f>G14</f>
        <v>0</v>
      </c>
      <c r="K14" s="129">
        <f>I14</f>
        <v>0</v>
      </c>
      <c r="L14" s="4">
        <f>YEAR(H14)</f>
        <v>1900</v>
      </c>
      <c r="XFB14" s="7" t="s">
        <v>77</v>
      </c>
      <c r="XFC14" s="7" t="str">
        <f>IFERROR(VLOOKUP(MONTH(C14)+1,Recibo!$IW$11:$IX$22,2,FALSE)&amp;" de "&amp;YEAR(C14),VLOOKUP(MONTH(C14)-11,Recibo!$IW$11:$IX$22,2,FALSE)&amp;" de "&amp;(YEAR(C14)+1))</f>
        <v>Fevereiro de 1900</v>
      </c>
      <c r="XFD14" s="91">
        <f>'Dados a Colocar'!$F$16</f>
        <v>0</v>
      </c>
    </row>
    <row r="15" spans="1:12 16382:16384" x14ac:dyDescent="0.25">
      <c r="A15" s="4">
        <f t="shared" ref="A15:A25" si="0">YEAR(C15)</f>
        <v>1900</v>
      </c>
      <c r="B15" s="5" t="str">
        <f>"003/"&amp;YEAR(C15)</f>
        <v>003/1900</v>
      </c>
      <c r="C15" s="11">
        <f>EDATE(C14,1)</f>
        <v>59</v>
      </c>
      <c r="D15" s="5" t="str">
        <f>IF('Dados a Colocar'!$G$20="sim",'Conta-Corrente'!XFB15,'Conta-Corrente'!XFB14)</f>
        <v>3.º mês de renda</v>
      </c>
      <c r="E15" s="5" t="str">
        <f>IF('Dados a Colocar'!$G$20="sim",'Conta-Corrente'!XFC15,'Conta-Corrente'!XFC14)</f>
        <v>Fevereiro de 1900</v>
      </c>
      <c r="F15" s="6">
        <f>IF('Dados a Colocar'!$G$20="sim",'Conta-Corrente'!XFD15,'Conta-Corrente'!XFD14)</f>
        <v>0</v>
      </c>
      <c r="G15" s="132"/>
      <c r="H15" s="138"/>
      <c r="I15" s="133"/>
      <c r="J15" s="129">
        <f t="shared" ref="J15:J78" si="1">G15</f>
        <v>0</v>
      </c>
      <c r="K15" s="129">
        <f t="shared" ref="K15:K78" si="2">I15</f>
        <v>0</v>
      </c>
      <c r="L15" s="4">
        <f>YEAR(H15)</f>
        <v>1900</v>
      </c>
      <c r="XFB15" s="85" t="s">
        <v>78</v>
      </c>
      <c r="XFC15" s="85" t="str">
        <f>IFERROR(VLOOKUP(MONTH(C15)+1,Recibo!$IW$11:$IX$22,2,FALSE)&amp;" de "&amp;YEAR(C15),VLOOKUP(MONTH(C15)-11,Recibo!$IW$11:$IX$22,2,FALSE)&amp;" de "&amp;(YEAR(C15)+1))</f>
        <v>Março de 1900</v>
      </c>
      <c r="XFD15" s="91">
        <f>'Dados a Colocar'!$F$16</f>
        <v>0</v>
      </c>
    </row>
    <row r="16" spans="1:12 16382:16384" x14ac:dyDescent="0.25">
      <c r="A16" s="4">
        <f t="shared" si="0"/>
        <v>1900</v>
      </c>
      <c r="B16" s="7" t="str">
        <f>"004/"&amp;YEAR(C16)</f>
        <v>004/1900</v>
      </c>
      <c r="C16" s="10">
        <f t="shared" ref="C16:C80" si="3">EDATE(C15,1)</f>
        <v>88</v>
      </c>
      <c r="D16" s="7" t="str">
        <f>IF('Dados a Colocar'!$G$20="sim",'Conta-Corrente'!XFB16,'Conta-Corrente'!XFB15)</f>
        <v>4.º mês de renda</v>
      </c>
      <c r="E16" s="7" t="str">
        <f>IF('Dados a Colocar'!$G$20="sim",'Conta-Corrente'!XFC16,'Conta-Corrente'!XFC15)</f>
        <v>Março de 1900</v>
      </c>
      <c r="F16" s="8">
        <f>IF('Dados a Colocar'!$G$20="sim",'Conta-Corrente'!XFD16,'Conta-Corrente'!XFD15)</f>
        <v>0</v>
      </c>
      <c r="G16" s="81"/>
      <c r="H16" s="137"/>
      <c r="I16" s="82"/>
      <c r="J16" s="129">
        <f t="shared" si="1"/>
        <v>0</v>
      </c>
      <c r="K16" s="129">
        <f t="shared" si="2"/>
        <v>0</v>
      </c>
      <c r="L16" s="4">
        <f>YEAR(H16)</f>
        <v>1900</v>
      </c>
      <c r="XFB16" s="7" t="s">
        <v>79</v>
      </c>
      <c r="XFC16" s="7" t="str">
        <f>IFERROR(VLOOKUP(MONTH(C16)+1,Recibo!$IW$11:$IX$22,2,FALSE)&amp;" de "&amp;YEAR(C16),VLOOKUP(MONTH(C16)-11,Recibo!$IW$11:$IX$22,2,FALSE)&amp;" de "&amp;(YEAR(C16)+1))</f>
        <v>Abril de 1900</v>
      </c>
      <c r="XFD16" s="91">
        <f>'Dados a Colocar'!$F$16</f>
        <v>0</v>
      </c>
    </row>
    <row r="17" spans="1:12 16382:16384" x14ac:dyDescent="0.25">
      <c r="A17" s="4">
        <f t="shared" si="0"/>
        <v>1900</v>
      </c>
      <c r="B17" s="5" t="str">
        <f>"005/"&amp;YEAR(C17)</f>
        <v>005/1900</v>
      </c>
      <c r="C17" s="11">
        <f t="shared" si="3"/>
        <v>119</v>
      </c>
      <c r="D17" s="5" t="str">
        <f>IF('Dados a Colocar'!$G$20="sim",'Conta-Corrente'!XFB17,'Conta-Corrente'!XFB16)</f>
        <v>5.º mês de renda</v>
      </c>
      <c r="E17" s="5" t="str">
        <f>IF('Dados a Colocar'!$G$20="sim",'Conta-Corrente'!XFC17,'Conta-Corrente'!XFC16)</f>
        <v>Abril de 1900</v>
      </c>
      <c r="F17" s="6">
        <f>IF('Dados a Colocar'!$G$20="sim",'Conta-Corrente'!XFD17,'Conta-Corrente'!XFD16)</f>
        <v>0</v>
      </c>
      <c r="G17" s="132"/>
      <c r="H17" s="138"/>
      <c r="I17" s="133"/>
      <c r="J17" s="129">
        <f t="shared" si="1"/>
        <v>0</v>
      </c>
      <c r="K17" s="129">
        <f t="shared" si="2"/>
        <v>0</v>
      </c>
      <c r="L17" s="4">
        <f>YEAR(H17)</f>
        <v>1900</v>
      </c>
      <c r="XFB17" s="85" t="s">
        <v>80</v>
      </c>
      <c r="XFC17" s="85" t="str">
        <f>IFERROR(VLOOKUP(MONTH(C17)+1,Recibo!$IW$11:$IX$22,2,FALSE)&amp;" de "&amp;YEAR(C17),VLOOKUP(MONTH(C17)-11,Recibo!$IW$11:$IX$22,2,FALSE)&amp;" de "&amp;(YEAR(C17)+1))</f>
        <v>Maio de 1900</v>
      </c>
      <c r="XFD17" s="91">
        <f>'Dados a Colocar'!$F$16</f>
        <v>0</v>
      </c>
    </row>
    <row r="18" spans="1:12 16382:16384" x14ac:dyDescent="0.25">
      <c r="A18" s="4">
        <f t="shared" si="0"/>
        <v>1900</v>
      </c>
      <c r="B18" s="7" t="str">
        <f>"006/"&amp;YEAR(C18)</f>
        <v>006/1900</v>
      </c>
      <c r="C18" s="10">
        <f t="shared" si="3"/>
        <v>149</v>
      </c>
      <c r="D18" s="7" t="str">
        <f>IF('Dados a Colocar'!$G$20="sim",'Conta-Corrente'!XFB18,'Conta-Corrente'!XFB17)</f>
        <v>6.º mês de renda</v>
      </c>
      <c r="E18" s="7" t="str">
        <f>IF('Dados a Colocar'!$G$20="sim",'Conta-Corrente'!XFC18,'Conta-Corrente'!XFC17)</f>
        <v>Maio de 1900</v>
      </c>
      <c r="F18" s="8">
        <f>IF('Dados a Colocar'!$G$20="sim",'Conta-Corrente'!XFD18,'Conta-Corrente'!XFD17)</f>
        <v>0</v>
      </c>
      <c r="G18" s="81"/>
      <c r="H18" s="137"/>
      <c r="I18" s="82"/>
      <c r="J18" s="129">
        <f t="shared" si="1"/>
        <v>0</v>
      </c>
      <c r="K18" s="129">
        <f t="shared" si="2"/>
        <v>0</v>
      </c>
      <c r="L18" s="4">
        <f>YEAR(H18)</f>
        <v>1900</v>
      </c>
      <c r="XFB18" s="7" t="s">
        <v>81</v>
      </c>
      <c r="XFC18" s="7" t="str">
        <f>IFERROR(VLOOKUP(MONTH(C18)+1,Recibo!$IW$11:$IX$22,2,FALSE)&amp;" de "&amp;YEAR(C18),VLOOKUP(MONTH(C18)-11,Recibo!$IW$11:$IX$22,2,FALSE)&amp;" de "&amp;(YEAR(C18)+1))</f>
        <v>Junho de 1900</v>
      </c>
      <c r="XFD18" s="91">
        <f>'Dados a Colocar'!$F$16</f>
        <v>0</v>
      </c>
    </row>
    <row r="19" spans="1:12 16382:16384" x14ac:dyDescent="0.25">
      <c r="A19" s="4">
        <f t="shared" si="0"/>
        <v>1900</v>
      </c>
      <c r="B19" s="5" t="str">
        <f>"007/"&amp;YEAR(C19)</f>
        <v>007/1900</v>
      </c>
      <c r="C19" s="11">
        <f t="shared" si="3"/>
        <v>180</v>
      </c>
      <c r="D19" s="5" t="str">
        <f>IF('Dados a Colocar'!$G$20="sim",'Conta-Corrente'!XFB19,'Conta-Corrente'!XFB18)</f>
        <v>7.º mês de renda</v>
      </c>
      <c r="E19" s="5" t="str">
        <f>IF('Dados a Colocar'!$G$20="sim",'Conta-Corrente'!XFC19,'Conta-Corrente'!XFC18)</f>
        <v>Junho de 1900</v>
      </c>
      <c r="F19" s="6">
        <f>IF('Dados a Colocar'!$G$20="sim",'Conta-Corrente'!XFD19,'Conta-Corrente'!XFD18)</f>
        <v>0</v>
      </c>
      <c r="G19" s="132"/>
      <c r="H19" s="138"/>
      <c r="I19" s="133"/>
      <c r="J19" s="129">
        <f t="shared" si="1"/>
        <v>0</v>
      </c>
      <c r="K19" s="129">
        <f t="shared" si="2"/>
        <v>0</v>
      </c>
      <c r="L19" s="4">
        <f>YEAR(H19)</f>
        <v>1900</v>
      </c>
      <c r="XFB19" s="85" t="s">
        <v>82</v>
      </c>
      <c r="XFC19" s="85" t="str">
        <f>IFERROR(VLOOKUP(MONTH(C19)+1,Recibo!$IW$11:$IX$22,2,FALSE)&amp;" de "&amp;YEAR(C19),VLOOKUP(MONTH(C19)-11,Recibo!$IW$11:$IX$22,2,FALSE)&amp;" de "&amp;(YEAR(C19)+1))</f>
        <v>Julho de 1900</v>
      </c>
      <c r="XFD19" s="91">
        <f>'Dados a Colocar'!$F$16</f>
        <v>0</v>
      </c>
    </row>
    <row r="20" spans="1:12 16382:16384" x14ac:dyDescent="0.25">
      <c r="A20" s="4">
        <f t="shared" si="0"/>
        <v>1900</v>
      </c>
      <c r="B20" s="7" t="str">
        <f>"008/"&amp;YEAR(C20)</f>
        <v>008/1900</v>
      </c>
      <c r="C20" s="10">
        <f t="shared" si="3"/>
        <v>210</v>
      </c>
      <c r="D20" s="7" t="str">
        <f>IF('Dados a Colocar'!$G$20="sim",'Conta-Corrente'!XFB20,'Conta-Corrente'!XFB19)</f>
        <v>8.º mês de renda</v>
      </c>
      <c r="E20" s="7" t="str">
        <f>IF('Dados a Colocar'!$G$20="sim",'Conta-Corrente'!XFC20,'Conta-Corrente'!XFC19)</f>
        <v>Julho de 1900</v>
      </c>
      <c r="F20" s="8">
        <f>IF('Dados a Colocar'!$G$20="sim",'Conta-Corrente'!XFD20,'Conta-Corrente'!XFD19)</f>
        <v>0</v>
      </c>
      <c r="G20" s="81"/>
      <c r="H20" s="137"/>
      <c r="I20" s="82"/>
      <c r="J20" s="129">
        <f t="shared" si="1"/>
        <v>0</v>
      </c>
      <c r="K20" s="129">
        <f t="shared" si="2"/>
        <v>0</v>
      </c>
      <c r="L20" s="4">
        <f>YEAR(H20)</f>
        <v>1900</v>
      </c>
      <c r="XFB20" s="7" t="s">
        <v>83</v>
      </c>
      <c r="XFC20" s="7" t="str">
        <f>IFERROR(VLOOKUP(MONTH(C20)+1,Recibo!$IW$11:$IX$22,2,FALSE)&amp;" de "&amp;YEAR(C20),VLOOKUP(MONTH(C20)-11,Recibo!$IW$11:$IX$22,2,FALSE)&amp;" de "&amp;(YEAR(C20)+1))</f>
        <v>Agosto de 1900</v>
      </c>
      <c r="XFD20" s="91">
        <f>'Dados a Colocar'!$F$16</f>
        <v>0</v>
      </c>
    </row>
    <row r="21" spans="1:12 16382:16384" x14ac:dyDescent="0.25">
      <c r="A21" s="4">
        <f t="shared" si="0"/>
        <v>1900</v>
      </c>
      <c r="B21" s="5" t="str">
        <f>"009/"&amp;YEAR(C21)</f>
        <v>009/1900</v>
      </c>
      <c r="C21" s="11">
        <f t="shared" si="3"/>
        <v>241</v>
      </c>
      <c r="D21" s="5" t="str">
        <f>IF('Dados a Colocar'!$G$20="sim",'Conta-Corrente'!XFB21,'Conta-Corrente'!XFB20)</f>
        <v>9.º mês de renda</v>
      </c>
      <c r="E21" s="5" t="str">
        <f>IF('Dados a Colocar'!$G$20="sim",'Conta-Corrente'!XFC21,'Conta-Corrente'!XFC20)</f>
        <v>Agosto de 1900</v>
      </c>
      <c r="F21" s="6">
        <f>IF('Dados a Colocar'!$G$20="sim",'Conta-Corrente'!XFD21,'Conta-Corrente'!XFD20)</f>
        <v>0</v>
      </c>
      <c r="G21" s="132"/>
      <c r="H21" s="138"/>
      <c r="I21" s="133"/>
      <c r="J21" s="129">
        <f t="shared" si="1"/>
        <v>0</v>
      </c>
      <c r="K21" s="129">
        <f t="shared" si="2"/>
        <v>0</v>
      </c>
      <c r="L21" s="4">
        <f>YEAR(H21)</f>
        <v>1900</v>
      </c>
      <c r="XFB21" s="85" t="s">
        <v>84</v>
      </c>
      <c r="XFC21" s="85" t="str">
        <f>IFERROR(VLOOKUP(MONTH(C21)+1,Recibo!$IW$11:$IX$22,2,FALSE)&amp;" de "&amp;YEAR(C21),VLOOKUP(MONTH(C21)-11,Recibo!$IW$11:$IX$22,2,FALSE)&amp;" de "&amp;(YEAR(C21)+1))</f>
        <v>Setembro de 1900</v>
      </c>
      <c r="XFD21" s="91">
        <f>'Dados a Colocar'!$F$16</f>
        <v>0</v>
      </c>
    </row>
    <row r="22" spans="1:12 16382:16384" x14ac:dyDescent="0.25">
      <c r="A22" s="4">
        <f t="shared" si="0"/>
        <v>1900</v>
      </c>
      <c r="B22" s="7" t="str">
        <f>"010/"&amp;YEAR(C22)</f>
        <v>010/1900</v>
      </c>
      <c r="C22" s="10">
        <f t="shared" si="3"/>
        <v>272</v>
      </c>
      <c r="D22" s="7" t="str">
        <f>IF('Dados a Colocar'!$G$20="sim",'Conta-Corrente'!XFB22,'Conta-Corrente'!XFB21)</f>
        <v>10.º mês de renda</v>
      </c>
      <c r="E22" s="7" t="str">
        <f>IF('Dados a Colocar'!$G$20="sim",'Conta-Corrente'!XFC22,'Conta-Corrente'!XFC21)</f>
        <v>Setembro de 1900</v>
      </c>
      <c r="F22" s="8">
        <f>IF('Dados a Colocar'!$G$20="sim",'Conta-Corrente'!XFD22,'Conta-Corrente'!XFD21)</f>
        <v>0</v>
      </c>
      <c r="G22" s="81"/>
      <c r="H22" s="137"/>
      <c r="I22" s="82"/>
      <c r="J22" s="129">
        <f t="shared" si="1"/>
        <v>0</v>
      </c>
      <c r="K22" s="129">
        <f t="shared" si="2"/>
        <v>0</v>
      </c>
      <c r="L22" s="4">
        <f>YEAR(H22)</f>
        <v>1900</v>
      </c>
      <c r="XFB22" s="7" t="s">
        <v>85</v>
      </c>
      <c r="XFC22" s="7" t="str">
        <f>IFERROR(VLOOKUP(MONTH(C22)+1,Recibo!$IW$11:$IX$22,2,FALSE)&amp;" de "&amp;YEAR(C22),VLOOKUP(MONTH(C22)-11,Recibo!$IW$11:$IX$22,2,FALSE)&amp;" de "&amp;(YEAR(C22)+1))</f>
        <v>Outubro de 1900</v>
      </c>
      <c r="XFD22" s="91">
        <f>'Dados a Colocar'!$F$16</f>
        <v>0</v>
      </c>
    </row>
    <row r="23" spans="1:12 16382:16384" x14ac:dyDescent="0.25">
      <c r="A23" s="4">
        <f t="shared" si="0"/>
        <v>1900</v>
      </c>
      <c r="B23" s="5" t="str">
        <f>"011/"&amp;YEAR(C23)</f>
        <v>011/1900</v>
      </c>
      <c r="C23" s="11">
        <f t="shared" si="3"/>
        <v>302</v>
      </c>
      <c r="D23" s="5" t="str">
        <f>IF('Dados a Colocar'!$G$20="sim",'Conta-Corrente'!XFB23,'Conta-Corrente'!XFB22)</f>
        <v>11.º mês de renda</v>
      </c>
      <c r="E23" s="5" t="str">
        <f>IF('Dados a Colocar'!$G$20="sim",'Conta-Corrente'!XFC23,'Conta-Corrente'!XFC22)</f>
        <v>Outubro de 1900</v>
      </c>
      <c r="F23" s="6">
        <f>IF('Dados a Colocar'!$G$20="sim",'Conta-Corrente'!XFD23,'Conta-Corrente'!XFD22)</f>
        <v>0</v>
      </c>
      <c r="G23" s="132"/>
      <c r="H23" s="138"/>
      <c r="I23" s="133"/>
      <c r="J23" s="129">
        <f t="shared" si="1"/>
        <v>0</v>
      </c>
      <c r="K23" s="129">
        <f t="shared" si="2"/>
        <v>0</v>
      </c>
      <c r="L23" s="4">
        <f>YEAR(H23)</f>
        <v>1900</v>
      </c>
      <c r="XFB23" s="85" t="s">
        <v>86</v>
      </c>
      <c r="XFC23" s="85" t="str">
        <f>IFERROR(VLOOKUP(MONTH(C23)+1,Recibo!$IW$11:$IX$22,2,FALSE)&amp;" de "&amp;YEAR(C23),VLOOKUP(MONTH(C23)-11,Recibo!$IW$11:$IX$22,2,FALSE)&amp;" de "&amp;(YEAR(C23)+1))</f>
        <v>Novembro de 1900</v>
      </c>
      <c r="XFD23" s="91">
        <f>'Dados a Colocar'!$F$16</f>
        <v>0</v>
      </c>
    </row>
    <row r="24" spans="1:12 16382:16384" x14ac:dyDescent="0.25">
      <c r="A24" s="4">
        <f t="shared" si="0"/>
        <v>1900</v>
      </c>
      <c r="B24" s="7" t="str">
        <f>"012/"&amp;YEAR(C24)</f>
        <v>012/1900</v>
      </c>
      <c r="C24" s="10">
        <f t="shared" si="3"/>
        <v>333</v>
      </c>
      <c r="D24" s="7" t="str">
        <f>IF('Dados a Colocar'!$G$20="sim",'Conta-Corrente'!XFB24,'Conta-Corrente'!XFB23)</f>
        <v>12.º mês de renda</v>
      </c>
      <c r="E24" s="7" t="str">
        <f>IF('Dados a Colocar'!$G$20="sim",'Conta-Corrente'!XFC24,'Conta-Corrente'!XFC23)</f>
        <v>Novembro de 1900</v>
      </c>
      <c r="F24" s="8">
        <f>IF('Dados a Colocar'!$G$20="sim",'Conta-Corrente'!XFD24,'Conta-Corrente'!XFD23)</f>
        <v>0</v>
      </c>
      <c r="G24" s="81"/>
      <c r="H24" s="137"/>
      <c r="I24" s="82"/>
      <c r="J24" s="129">
        <f t="shared" si="1"/>
        <v>0</v>
      </c>
      <c r="K24" s="129">
        <f t="shared" si="2"/>
        <v>0</v>
      </c>
      <c r="L24" s="4">
        <f>YEAR(H24)</f>
        <v>1900</v>
      </c>
      <c r="XFB24" s="7" t="s">
        <v>87</v>
      </c>
      <c r="XFC24" s="7" t="str">
        <f>IFERROR(VLOOKUP(MONTH(C24)+1,Recibo!$IW$11:$IX$22,2,FALSE)&amp;" de "&amp;YEAR(C24),VLOOKUP(MONTH(C24)-11,Recibo!$IW$11:$IX$22,2,FALSE)&amp;" de "&amp;(YEAR(C24)+1))</f>
        <v>Dezembro de 1900</v>
      </c>
      <c r="XFD24" s="91">
        <f>ROUND('Dados a Colocar'!$F$16+'Dados a Colocar'!$F$16*'Dados a Colocar'!$J$22,2)</f>
        <v>0</v>
      </c>
    </row>
    <row r="25" spans="1:12 16382:16384" x14ac:dyDescent="0.25">
      <c r="A25" s="4">
        <f t="shared" si="0"/>
        <v>1900</v>
      </c>
      <c r="B25" s="9" t="str">
        <f>"013/"&amp;YEAR(C25)</f>
        <v>013/1900</v>
      </c>
      <c r="C25" s="11">
        <f t="shared" si="3"/>
        <v>363</v>
      </c>
      <c r="D25" s="9" t="str">
        <f>IF('Dados a Colocar'!$G$20="sim",'Conta-Corrente'!XFB25,'Conta-Corrente'!XFB24)</f>
        <v>13.º mês de renda</v>
      </c>
      <c r="E25" s="9" t="str">
        <f>IF('Dados a Colocar'!$G$20="sim",'Conta-Corrente'!XFC25,'Conta-Corrente'!XFC24)</f>
        <v>Dezembro de 1900</v>
      </c>
      <c r="F25" s="6">
        <f>IF('Dados a Colocar'!$G$20="sim",'Conta-Corrente'!XFD25,'Conta-Corrente'!XFD24)</f>
        <v>0</v>
      </c>
      <c r="G25" s="132"/>
      <c r="H25" s="138"/>
      <c r="I25" s="133"/>
      <c r="J25" s="129">
        <f t="shared" si="1"/>
        <v>0</v>
      </c>
      <c r="K25" s="129">
        <f t="shared" si="2"/>
        <v>0</v>
      </c>
      <c r="L25" s="4">
        <f>YEAR(H25)</f>
        <v>1900</v>
      </c>
      <c r="XFB25" s="85" t="s">
        <v>104</v>
      </c>
      <c r="XFC25" s="85" t="str">
        <f>IFERROR(VLOOKUP(MONTH(C25)+1,Recibo!$IW$11:$IX$22,2,FALSE)&amp;" de "&amp;YEAR(C25),VLOOKUP(MONTH(C25)-11,Recibo!$IW$11:$IX$22,2,FALSE)&amp;" de "&amp;(YEAR(C25)+1))</f>
        <v>Janeiro de 1901</v>
      </c>
      <c r="XFD25" s="91">
        <f>ROUND('Dados a Colocar'!$F$16+'Dados a Colocar'!$F$16*'Dados a Colocar'!$J$22,2)</f>
        <v>0</v>
      </c>
    </row>
    <row r="26" spans="1:12 16382:16384" x14ac:dyDescent="0.25">
      <c r="A26" s="4">
        <f t="shared" ref="A26:A79" si="4">YEAR(C26)</f>
        <v>1901</v>
      </c>
      <c r="B26" s="7" t="str">
        <f>"014/"&amp;YEAR(C26)</f>
        <v>014/1901</v>
      </c>
      <c r="C26" s="10">
        <f t="shared" si="3"/>
        <v>394</v>
      </c>
      <c r="D26" s="7" t="str">
        <f>IF('Dados a Colocar'!$G$20="sim",'Conta-Corrente'!XFB26,'Conta-Corrente'!XFB25)</f>
        <v>14.º mês de renda</v>
      </c>
      <c r="E26" s="7" t="str">
        <f>IF('Dados a Colocar'!$G$20="sim",'Conta-Corrente'!XFC26,'Conta-Corrente'!XFC25)</f>
        <v>Janeiro de 1901</v>
      </c>
      <c r="F26" s="8">
        <f>IF('Dados a Colocar'!$G$20="sim",'Conta-Corrente'!XFD26,'Conta-Corrente'!XFD25)</f>
        <v>0</v>
      </c>
      <c r="G26" s="81"/>
      <c r="H26" s="137"/>
      <c r="I26" s="82"/>
      <c r="J26" s="129">
        <f t="shared" si="1"/>
        <v>0</v>
      </c>
      <c r="K26" s="129">
        <f t="shared" si="2"/>
        <v>0</v>
      </c>
      <c r="L26" s="4">
        <f>YEAR(H26)</f>
        <v>1900</v>
      </c>
      <c r="XFB26" s="7" t="s">
        <v>116</v>
      </c>
      <c r="XFC26" s="7" t="str">
        <f>IFERROR(VLOOKUP(MONTH(C26)+1,Recibo!$IW$11:$IX$22,2,FALSE)&amp;" de "&amp;YEAR(C26),VLOOKUP(MONTH(C26)-11,Recibo!$IW$11:$IX$22,2,FALSE)&amp;" de "&amp;(YEAR(C26)+1))</f>
        <v>Fevereiro de 1901</v>
      </c>
      <c r="XFD26" s="91">
        <f>ROUND('Dados a Colocar'!$F$16+'Dados a Colocar'!$F$16*'Dados a Colocar'!$J$22,2)</f>
        <v>0</v>
      </c>
    </row>
    <row r="27" spans="1:12 16382:16384" x14ac:dyDescent="0.25">
      <c r="A27" s="4">
        <f t="shared" si="4"/>
        <v>1901</v>
      </c>
      <c r="B27" s="9" t="str">
        <f>"015/"&amp;YEAR(C27)</f>
        <v>015/1901</v>
      </c>
      <c r="C27" s="11">
        <f t="shared" si="3"/>
        <v>425</v>
      </c>
      <c r="D27" s="9" t="str">
        <f>IF('Dados a Colocar'!$G$20="sim",'Conta-Corrente'!XFB27,'Conta-Corrente'!XFB26)</f>
        <v>15.º mês de renda</v>
      </c>
      <c r="E27" s="9" t="str">
        <f>IF('Dados a Colocar'!$G$20="sim",'Conta-Corrente'!XFC27,'Conta-Corrente'!XFC26)</f>
        <v>Fevereiro de 1901</v>
      </c>
      <c r="F27" s="6">
        <f>IF('Dados a Colocar'!$G$20="sim",'Conta-Corrente'!XFD27,'Conta-Corrente'!XFD26)</f>
        <v>0</v>
      </c>
      <c r="G27" s="132"/>
      <c r="H27" s="138"/>
      <c r="I27" s="133"/>
      <c r="J27" s="129">
        <f t="shared" si="1"/>
        <v>0</v>
      </c>
      <c r="K27" s="129">
        <f t="shared" si="2"/>
        <v>0</v>
      </c>
      <c r="L27" s="4">
        <f>YEAR(H27)</f>
        <v>1900</v>
      </c>
      <c r="XFB27" s="85" t="s">
        <v>117</v>
      </c>
      <c r="XFC27" s="85" t="str">
        <f>IFERROR(VLOOKUP(MONTH(C27)+1,Recibo!$IW$11:$IX$22,2,FALSE)&amp;" de "&amp;YEAR(C27),VLOOKUP(MONTH(C27)-11,Recibo!$IW$11:$IX$22,2,FALSE)&amp;" de "&amp;(YEAR(C27)+1))</f>
        <v>Março de 1901</v>
      </c>
      <c r="XFD27" s="91">
        <f>ROUND('Dados a Colocar'!$F$16+'Dados a Colocar'!$F$16*'Dados a Colocar'!$J$22,2)</f>
        <v>0</v>
      </c>
    </row>
    <row r="28" spans="1:12 16382:16384" x14ac:dyDescent="0.25">
      <c r="A28" s="4">
        <f t="shared" si="4"/>
        <v>1901</v>
      </c>
      <c r="B28" s="7" t="str">
        <f>"016/"&amp;YEAR(C28)</f>
        <v>016/1901</v>
      </c>
      <c r="C28" s="10">
        <f t="shared" si="3"/>
        <v>453</v>
      </c>
      <c r="D28" s="7" t="str">
        <f>IF('Dados a Colocar'!$G$20="sim",'Conta-Corrente'!XFB28,'Conta-Corrente'!XFB27)</f>
        <v>16.º mês de renda</v>
      </c>
      <c r="E28" s="7" t="str">
        <f>IF('Dados a Colocar'!$G$20="sim",'Conta-Corrente'!XFC28,'Conta-Corrente'!XFC27)</f>
        <v>Março de 1901</v>
      </c>
      <c r="F28" s="8">
        <f>IF('Dados a Colocar'!$G$20="sim",'Conta-Corrente'!XFD28,'Conta-Corrente'!XFD27)</f>
        <v>0</v>
      </c>
      <c r="G28" s="81"/>
      <c r="H28" s="137"/>
      <c r="I28" s="82"/>
      <c r="J28" s="129">
        <f t="shared" si="1"/>
        <v>0</v>
      </c>
      <c r="K28" s="129">
        <f t="shared" si="2"/>
        <v>0</v>
      </c>
      <c r="L28" s="4">
        <f>YEAR(H28)</f>
        <v>1900</v>
      </c>
      <c r="XFB28" s="7" t="s">
        <v>118</v>
      </c>
      <c r="XFC28" s="7" t="str">
        <f>IFERROR(VLOOKUP(MONTH(C28)+1,Recibo!$IW$11:$IX$22,2,FALSE)&amp;" de "&amp;YEAR(C28),VLOOKUP(MONTH(C28)-11,Recibo!$IW$11:$IX$22,2,FALSE)&amp;" de "&amp;(YEAR(C28)+1))</f>
        <v>Abril de 1901</v>
      </c>
      <c r="XFD28" s="91">
        <f>ROUND('Dados a Colocar'!$F$16+'Dados a Colocar'!$F$16*'Dados a Colocar'!$J$22,2)</f>
        <v>0</v>
      </c>
    </row>
    <row r="29" spans="1:12 16382:16384" x14ac:dyDescent="0.25">
      <c r="A29" s="4">
        <f t="shared" si="4"/>
        <v>1901</v>
      </c>
      <c r="B29" s="9" t="str">
        <f>"017/"&amp;YEAR(C29)</f>
        <v>017/1901</v>
      </c>
      <c r="C29" s="11">
        <f t="shared" si="3"/>
        <v>484</v>
      </c>
      <c r="D29" s="9" t="str">
        <f>IF('Dados a Colocar'!$G$20="sim",'Conta-Corrente'!XFB29,'Conta-Corrente'!XFB28)</f>
        <v>17.º mês de renda</v>
      </c>
      <c r="E29" s="9" t="str">
        <f>IF('Dados a Colocar'!$G$20="sim",'Conta-Corrente'!XFC29,'Conta-Corrente'!XFC28)</f>
        <v>Abril de 1901</v>
      </c>
      <c r="F29" s="6">
        <f>IF('Dados a Colocar'!$G$20="sim",'Conta-Corrente'!XFD29,'Conta-Corrente'!XFD28)</f>
        <v>0</v>
      </c>
      <c r="G29" s="132"/>
      <c r="H29" s="138"/>
      <c r="I29" s="133"/>
      <c r="J29" s="129">
        <f t="shared" si="1"/>
        <v>0</v>
      </c>
      <c r="K29" s="129">
        <f t="shared" si="2"/>
        <v>0</v>
      </c>
      <c r="L29" s="4">
        <f>YEAR(H29)</f>
        <v>1900</v>
      </c>
      <c r="XFB29" s="85" t="s">
        <v>119</v>
      </c>
      <c r="XFC29" s="85" t="str">
        <f>IFERROR(VLOOKUP(MONTH(C29)+1,Recibo!$IW$11:$IX$22,2,FALSE)&amp;" de "&amp;YEAR(C29),VLOOKUP(MONTH(C29)-11,Recibo!$IW$11:$IX$22,2,FALSE)&amp;" de "&amp;(YEAR(C29)+1))</f>
        <v>Maio de 1901</v>
      </c>
      <c r="XFD29" s="91">
        <f>ROUND('Dados a Colocar'!$F$16+'Dados a Colocar'!$F$16*'Dados a Colocar'!$J$22,2)</f>
        <v>0</v>
      </c>
    </row>
    <row r="30" spans="1:12 16382:16384" x14ac:dyDescent="0.25">
      <c r="A30" s="4">
        <f t="shared" si="4"/>
        <v>1901</v>
      </c>
      <c r="B30" s="7" t="str">
        <f>"018/"&amp;YEAR(C30)</f>
        <v>018/1901</v>
      </c>
      <c r="C30" s="10">
        <f t="shared" si="3"/>
        <v>514</v>
      </c>
      <c r="D30" s="7" t="str">
        <f>IF('Dados a Colocar'!$G$20="sim",'Conta-Corrente'!XFB30,'Conta-Corrente'!XFB29)</f>
        <v>18.º mês de renda</v>
      </c>
      <c r="E30" s="7" t="str">
        <f>IF('Dados a Colocar'!$G$20="sim",'Conta-Corrente'!XFC30,'Conta-Corrente'!XFC29)</f>
        <v>Maio de 1901</v>
      </c>
      <c r="F30" s="8">
        <f>IF('Dados a Colocar'!$G$20="sim",'Conta-Corrente'!XFD30,'Conta-Corrente'!XFD29)</f>
        <v>0</v>
      </c>
      <c r="G30" s="81"/>
      <c r="H30" s="137"/>
      <c r="I30" s="82"/>
      <c r="J30" s="129">
        <f t="shared" si="1"/>
        <v>0</v>
      </c>
      <c r="K30" s="129">
        <f t="shared" si="2"/>
        <v>0</v>
      </c>
      <c r="L30" s="4">
        <f>YEAR(H30)</f>
        <v>1900</v>
      </c>
      <c r="XFB30" s="7" t="s">
        <v>120</v>
      </c>
      <c r="XFC30" s="7" t="str">
        <f>IFERROR(VLOOKUP(MONTH(C30)+1,Recibo!$IW$11:$IX$22,2,FALSE)&amp;" de "&amp;YEAR(C30),VLOOKUP(MONTH(C30)-11,Recibo!$IW$11:$IX$22,2,FALSE)&amp;" de "&amp;(YEAR(C30)+1))</f>
        <v>Junho de 1901</v>
      </c>
      <c r="XFD30" s="91">
        <f>ROUND('Dados a Colocar'!$F$16+'Dados a Colocar'!$F$16*'Dados a Colocar'!$J$22,2)</f>
        <v>0</v>
      </c>
    </row>
    <row r="31" spans="1:12 16382:16384" x14ac:dyDescent="0.25">
      <c r="A31" s="4">
        <f t="shared" si="4"/>
        <v>1901</v>
      </c>
      <c r="B31" s="9" t="str">
        <f>"019/"&amp;YEAR(C31)</f>
        <v>019/1901</v>
      </c>
      <c r="C31" s="11">
        <f t="shared" si="3"/>
        <v>545</v>
      </c>
      <c r="D31" s="9" t="str">
        <f>IF('Dados a Colocar'!$G$20="sim",'Conta-Corrente'!XFB31,'Conta-Corrente'!XFB30)</f>
        <v>19.º mês de renda</v>
      </c>
      <c r="E31" s="9" t="str">
        <f>IF('Dados a Colocar'!$G$20="sim",'Conta-Corrente'!XFC31,'Conta-Corrente'!XFC30)</f>
        <v>Junho de 1901</v>
      </c>
      <c r="F31" s="6">
        <f>IF('Dados a Colocar'!$G$20="sim",'Conta-Corrente'!XFD31,'Conta-Corrente'!XFD30)</f>
        <v>0</v>
      </c>
      <c r="G31" s="132"/>
      <c r="H31" s="138"/>
      <c r="I31" s="133"/>
      <c r="J31" s="129">
        <f t="shared" si="1"/>
        <v>0</v>
      </c>
      <c r="K31" s="129">
        <f t="shared" si="2"/>
        <v>0</v>
      </c>
      <c r="L31" s="4">
        <f>YEAR(H31)</f>
        <v>1900</v>
      </c>
      <c r="XFB31" s="85" t="s">
        <v>121</v>
      </c>
      <c r="XFC31" s="85" t="str">
        <f>IFERROR(VLOOKUP(MONTH(C31)+1,Recibo!$IW$11:$IX$22,2,FALSE)&amp;" de "&amp;YEAR(C31),VLOOKUP(MONTH(C31)-11,Recibo!$IW$11:$IX$22,2,FALSE)&amp;" de "&amp;(YEAR(C31)+1))</f>
        <v>Julho de 1901</v>
      </c>
      <c r="XFD31" s="91">
        <f>ROUND('Dados a Colocar'!$F$16+'Dados a Colocar'!$F$16*'Dados a Colocar'!$J$22,2)</f>
        <v>0</v>
      </c>
    </row>
    <row r="32" spans="1:12 16382:16384" x14ac:dyDescent="0.25">
      <c r="A32" s="4">
        <f t="shared" si="4"/>
        <v>1901</v>
      </c>
      <c r="B32" s="7" t="str">
        <f>"020/"&amp;YEAR(C32)</f>
        <v>020/1901</v>
      </c>
      <c r="C32" s="10">
        <f t="shared" si="3"/>
        <v>575</v>
      </c>
      <c r="D32" s="7" t="str">
        <f>IF('Dados a Colocar'!$G$20="sim",'Conta-Corrente'!XFB32,'Conta-Corrente'!XFB31)</f>
        <v>20.º mês de renda</v>
      </c>
      <c r="E32" s="7" t="str">
        <f>IF('Dados a Colocar'!$G$20="sim",'Conta-Corrente'!XFC32,'Conta-Corrente'!XFC31)</f>
        <v>Julho de 1901</v>
      </c>
      <c r="F32" s="8">
        <f>IF('Dados a Colocar'!$G$20="sim",'Conta-Corrente'!XFD32,'Conta-Corrente'!XFD31)</f>
        <v>0</v>
      </c>
      <c r="G32" s="81"/>
      <c r="H32" s="137"/>
      <c r="I32" s="82"/>
      <c r="J32" s="129">
        <f t="shared" si="1"/>
        <v>0</v>
      </c>
      <c r="K32" s="129">
        <f t="shared" si="2"/>
        <v>0</v>
      </c>
      <c r="L32" s="4">
        <f>YEAR(H32)</f>
        <v>1900</v>
      </c>
      <c r="XFB32" s="7" t="s">
        <v>122</v>
      </c>
      <c r="XFC32" s="7" t="str">
        <f>IFERROR(VLOOKUP(MONTH(C32)+1,Recibo!$IW$11:$IX$22,2,FALSE)&amp;" de "&amp;YEAR(C32),VLOOKUP(MONTH(C32)-11,Recibo!$IW$11:$IX$22,2,FALSE)&amp;" de "&amp;(YEAR(C32)+1))</f>
        <v>Agosto de 1901</v>
      </c>
      <c r="XFD32" s="91">
        <f>ROUND('Dados a Colocar'!$F$16+'Dados a Colocar'!$F$16*'Dados a Colocar'!$J$22,2)</f>
        <v>0</v>
      </c>
    </row>
    <row r="33" spans="1:12 16382:16384" x14ac:dyDescent="0.25">
      <c r="A33" s="4">
        <f t="shared" si="4"/>
        <v>1901</v>
      </c>
      <c r="B33" s="9" t="str">
        <f>"021/"&amp;YEAR(C33)</f>
        <v>021/1901</v>
      </c>
      <c r="C33" s="11">
        <f t="shared" si="3"/>
        <v>606</v>
      </c>
      <c r="D33" s="9" t="str">
        <f>IF('Dados a Colocar'!$G$20="sim",'Conta-Corrente'!XFB33,'Conta-Corrente'!XFB32)</f>
        <v>21.º mês de renda</v>
      </c>
      <c r="E33" s="9" t="str">
        <f>IF('Dados a Colocar'!$G$20="sim",'Conta-Corrente'!XFC33,'Conta-Corrente'!XFC32)</f>
        <v>Agosto de 1901</v>
      </c>
      <c r="F33" s="6">
        <f>IF('Dados a Colocar'!$G$20="sim",'Conta-Corrente'!XFD33,'Conta-Corrente'!XFD32)</f>
        <v>0</v>
      </c>
      <c r="G33" s="132"/>
      <c r="H33" s="138"/>
      <c r="I33" s="133"/>
      <c r="J33" s="129">
        <f t="shared" si="1"/>
        <v>0</v>
      </c>
      <c r="K33" s="129">
        <f t="shared" si="2"/>
        <v>0</v>
      </c>
      <c r="L33" s="4">
        <f>YEAR(H33)</f>
        <v>1900</v>
      </c>
      <c r="XFB33" s="85" t="s">
        <v>123</v>
      </c>
      <c r="XFC33" s="85" t="str">
        <f>IFERROR(VLOOKUP(MONTH(C33)+1,Recibo!$IW$11:$IX$22,2,FALSE)&amp;" de "&amp;YEAR(C33),VLOOKUP(MONTH(C33)-11,Recibo!$IW$11:$IX$22,2,FALSE)&amp;" de "&amp;(YEAR(C33)+1))</f>
        <v>Setembro de 1901</v>
      </c>
      <c r="XFD33" s="91">
        <f>ROUND('Dados a Colocar'!$F$16+'Dados a Colocar'!$F$16*'Dados a Colocar'!$J$22,2)</f>
        <v>0</v>
      </c>
    </row>
    <row r="34" spans="1:12 16382:16384" x14ac:dyDescent="0.25">
      <c r="A34" s="4">
        <f t="shared" si="4"/>
        <v>1901</v>
      </c>
      <c r="B34" s="7" t="str">
        <f>"022/"&amp;YEAR(C34)</f>
        <v>022/1901</v>
      </c>
      <c r="C34" s="10">
        <f t="shared" si="3"/>
        <v>637</v>
      </c>
      <c r="D34" s="7" t="str">
        <f>IF('Dados a Colocar'!$G$20="sim",'Conta-Corrente'!XFB34,'Conta-Corrente'!XFB33)</f>
        <v>22.º mês de renda</v>
      </c>
      <c r="E34" s="7" t="str">
        <f>IF('Dados a Colocar'!$G$20="sim",'Conta-Corrente'!XFC34,'Conta-Corrente'!XFC33)</f>
        <v>Setembro de 1901</v>
      </c>
      <c r="F34" s="8">
        <f>IF('Dados a Colocar'!$G$20="sim",'Conta-Corrente'!XFD34,'Conta-Corrente'!XFD33)</f>
        <v>0</v>
      </c>
      <c r="G34" s="81"/>
      <c r="H34" s="137"/>
      <c r="I34" s="82"/>
      <c r="J34" s="129">
        <f t="shared" si="1"/>
        <v>0</v>
      </c>
      <c r="K34" s="129">
        <f t="shared" si="2"/>
        <v>0</v>
      </c>
      <c r="L34" s="4">
        <f>YEAR(H34)</f>
        <v>1900</v>
      </c>
      <c r="XFB34" s="7" t="s">
        <v>124</v>
      </c>
      <c r="XFC34" s="7" t="str">
        <f>IFERROR(VLOOKUP(MONTH(C34)+1,Recibo!$IW$11:$IX$22,2,FALSE)&amp;" de "&amp;YEAR(C34),VLOOKUP(MONTH(C34)-11,Recibo!$IW$11:$IX$22,2,FALSE)&amp;" de "&amp;(YEAR(C34)+1))</f>
        <v>Outubro de 1901</v>
      </c>
      <c r="XFD34" s="91">
        <f>ROUND('Dados a Colocar'!$F$16+'Dados a Colocar'!$F$16*'Dados a Colocar'!$J$22,2)</f>
        <v>0</v>
      </c>
    </row>
    <row r="35" spans="1:12 16382:16384" x14ac:dyDescent="0.25">
      <c r="A35" s="4">
        <f t="shared" si="4"/>
        <v>1901</v>
      </c>
      <c r="B35" s="9" t="str">
        <f>"023/"&amp;YEAR(C35)</f>
        <v>023/1901</v>
      </c>
      <c r="C35" s="11">
        <f t="shared" si="3"/>
        <v>667</v>
      </c>
      <c r="D35" s="9" t="str">
        <f>IF('Dados a Colocar'!$G$20="sim",'Conta-Corrente'!XFB35,'Conta-Corrente'!XFB34)</f>
        <v>23.º mês de renda</v>
      </c>
      <c r="E35" s="9" t="str">
        <f>IF('Dados a Colocar'!$G$20="sim",'Conta-Corrente'!XFC35,'Conta-Corrente'!XFC34)</f>
        <v>Outubro de 1901</v>
      </c>
      <c r="F35" s="6">
        <f>IF('Dados a Colocar'!$G$20="sim",'Conta-Corrente'!XFD35,'Conta-Corrente'!XFD34)</f>
        <v>0</v>
      </c>
      <c r="G35" s="132"/>
      <c r="H35" s="138"/>
      <c r="I35" s="133"/>
      <c r="J35" s="129">
        <f t="shared" si="1"/>
        <v>0</v>
      </c>
      <c r="K35" s="129">
        <f t="shared" si="2"/>
        <v>0</v>
      </c>
      <c r="L35" s="4">
        <f>YEAR(H35)</f>
        <v>1900</v>
      </c>
      <c r="XFB35" s="85" t="s">
        <v>125</v>
      </c>
      <c r="XFC35" s="85" t="str">
        <f>IFERROR(VLOOKUP(MONTH(C35)+1,Recibo!$IW$11:$IX$22,2,FALSE)&amp;" de "&amp;YEAR(C35),VLOOKUP(MONTH(C35)-11,Recibo!$IW$11:$IX$22,2,FALSE)&amp;" de "&amp;(YEAR(C35)+1))</f>
        <v>Novembro de 1901</v>
      </c>
      <c r="XFD35" s="91">
        <f>ROUND('Dados a Colocar'!$F$16+'Dados a Colocar'!$F$16*'Dados a Colocar'!$J$22,2)</f>
        <v>0</v>
      </c>
    </row>
    <row r="36" spans="1:12 16382:16384" x14ac:dyDescent="0.25">
      <c r="A36" s="4">
        <f t="shared" si="4"/>
        <v>1901</v>
      </c>
      <c r="B36" s="7" t="str">
        <f>"024/"&amp;YEAR(C36)</f>
        <v>024/1901</v>
      </c>
      <c r="C36" s="10">
        <f t="shared" si="3"/>
        <v>698</v>
      </c>
      <c r="D36" s="7" t="str">
        <f>IF('Dados a Colocar'!$G$20="sim",'Conta-Corrente'!XFB36,'Conta-Corrente'!XFB35)</f>
        <v>24.º mês de renda</v>
      </c>
      <c r="E36" s="7" t="str">
        <f>IF('Dados a Colocar'!$G$20="sim",'Conta-Corrente'!XFC36,'Conta-Corrente'!XFC35)</f>
        <v>Novembro de 1901</v>
      </c>
      <c r="F36" s="8">
        <f>IF('Dados a Colocar'!$G$20="sim",'Conta-Corrente'!XFD36,'Conta-Corrente'!XFD35)</f>
        <v>0</v>
      </c>
      <c r="G36" s="81"/>
      <c r="H36" s="137"/>
      <c r="I36" s="82"/>
      <c r="J36" s="129">
        <f t="shared" si="1"/>
        <v>0</v>
      </c>
      <c r="K36" s="129">
        <f t="shared" si="2"/>
        <v>0</v>
      </c>
      <c r="L36" s="4">
        <f>YEAR(H36)</f>
        <v>1900</v>
      </c>
      <c r="XFB36" s="7" t="s">
        <v>126</v>
      </c>
      <c r="XFC36" s="7" t="str">
        <f>IFERROR(VLOOKUP(MONTH(C36)+1,Recibo!$IW$11:$IX$22,2,FALSE)&amp;" de "&amp;YEAR(C36),VLOOKUP(MONTH(C36)-11,Recibo!$IW$11:$IX$22,2,FALSE)&amp;" de "&amp;(YEAR(C36)+1))</f>
        <v>Dezembro de 1901</v>
      </c>
      <c r="XFD36" s="91">
        <f>ROUND('Dados a Colocar'!$F$16+'Dados a Colocar'!$F$16*('Dados a Colocar'!$J$22+'Dados a Colocar'!$K$22),2)</f>
        <v>0</v>
      </c>
    </row>
    <row r="37" spans="1:12 16382:16384" x14ac:dyDescent="0.25">
      <c r="A37" s="4">
        <f t="shared" si="4"/>
        <v>1901</v>
      </c>
      <c r="B37" s="9" t="str">
        <f>"025/"&amp;YEAR(C37)</f>
        <v>025/1901</v>
      </c>
      <c r="C37" s="11">
        <f t="shared" si="3"/>
        <v>728</v>
      </c>
      <c r="D37" s="9" t="str">
        <f>IF('Dados a Colocar'!$G$20="sim",'Conta-Corrente'!XFB37,'Conta-Corrente'!XFB36)</f>
        <v>25.º mês de renda</v>
      </c>
      <c r="E37" s="9" t="str">
        <f>IF('Dados a Colocar'!$G$20="sim",'Conta-Corrente'!XFC37,'Conta-Corrente'!XFC36)</f>
        <v>Dezembro de 1901</v>
      </c>
      <c r="F37" s="6">
        <f>IF('Dados a Colocar'!$G$20="sim",'Conta-Corrente'!XFD37,'Conta-Corrente'!XFD36)</f>
        <v>0</v>
      </c>
      <c r="G37" s="132"/>
      <c r="H37" s="138"/>
      <c r="I37" s="133"/>
      <c r="J37" s="129">
        <f t="shared" si="1"/>
        <v>0</v>
      </c>
      <c r="K37" s="129">
        <f t="shared" si="2"/>
        <v>0</v>
      </c>
      <c r="L37" s="4">
        <f>YEAR(H37)</f>
        <v>1900</v>
      </c>
      <c r="XFB37" s="85" t="s">
        <v>127</v>
      </c>
      <c r="XFC37" s="85" t="str">
        <f>IFERROR(VLOOKUP(MONTH(C37)+1,Recibo!$IW$11:$IX$22,2,FALSE)&amp;" de "&amp;YEAR(C37),VLOOKUP(MONTH(C37)-11,Recibo!$IW$11:$IX$22,2,FALSE)&amp;" de "&amp;(YEAR(C37)+1))</f>
        <v>Janeiro de 1902</v>
      </c>
      <c r="XFD37" s="91">
        <f>ROUND('Dados a Colocar'!$F$16+'Dados a Colocar'!$F$16*('Dados a Colocar'!$J$22+'Dados a Colocar'!$K$22),2)</f>
        <v>0</v>
      </c>
    </row>
    <row r="38" spans="1:12 16382:16384" x14ac:dyDescent="0.25">
      <c r="A38" s="4">
        <f t="shared" si="4"/>
        <v>1902</v>
      </c>
      <c r="B38" s="7" t="str">
        <f>"026/"&amp;YEAR(C38)</f>
        <v>026/1902</v>
      </c>
      <c r="C38" s="10">
        <f t="shared" si="3"/>
        <v>759</v>
      </c>
      <c r="D38" s="7" t="str">
        <f>IF('Dados a Colocar'!$G$20="sim",'Conta-Corrente'!XFB38,'Conta-Corrente'!XFB37)</f>
        <v>26.º mês de renda</v>
      </c>
      <c r="E38" s="7" t="str">
        <f>IF('Dados a Colocar'!$G$20="sim",'Conta-Corrente'!XFC38,'Conta-Corrente'!XFC37)</f>
        <v>Janeiro de 1902</v>
      </c>
      <c r="F38" s="8">
        <f>IF('Dados a Colocar'!$G$20="sim",'Conta-Corrente'!XFD38,'Conta-Corrente'!XFD37)</f>
        <v>0</v>
      </c>
      <c r="G38" s="81"/>
      <c r="H38" s="137"/>
      <c r="I38" s="82"/>
      <c r="J38" s="129">
        <f t="shared" si="1"/>
        <v>0</v>
      </c>
      <c r="K38" s="129">
        <f t="shared" si="2"/>
        <v>0</v>
      </c>
      <c r="L38" s="4">
        <f>YEAR(H38)</f>
        <v>1900</v>
      </c>
      <c r="XFB38" s="7" t="s">
        <v>128</v>
      </c>
      <c r="XFC38" s="7" t="str">
        <f>IFERROR(VLOOKUP(MONTH(C38)+1,Recibo!$IW$11:$IX$22,2,FALSE)&amp;" de "&amp;YEAR(C38),VLOOKUP(MONTH(C38)-11,Recibo!$IW$11:$IX$22,2,FALSE)&amp;" de "&amp;(YEAR(C38)+1))</f>
        <v>Fevereiro de 1902</v>
      </c>
      <c r="XFD38" s="91">
        <f>ROUND('Dados a Colocar'!$F$16+'Dados a Colocar'!$F$16*('Dados a Colocar'!$J$22+'Dados a Colocar'!$K$22),2)</f>
        <v>0</v>
      </c>
    </row>
    <row r="39" spans="1:12 16382:16384" x14ac:dyDescent="0.25">
      <c r="A39" s="4">
        <f t="shared" si="4"/>
        <v>1902</v>
      </c>
      <c r="B39" s="9" t="str">
        <f>"027/"&amp;YEAR(C39)</f>
        <v>027/1902</v>
      </c>
      <c r="C39" s="11">
        <f t="shared" si="3"/>
        <v>790</v>
      </c>
      <c r="D39" s="9" t="str">
        <f>IF('Dados a Colocar'!$G$20="sim",'Conta-Corrente'!XFB39,'Conta-Corrente'!XFB38)</f>
        <v>27.º mês de renda</v>
      </c>
      <c r="E39" s="9" t="str">
        <f>IF('Dados a Colocar'!$G$20="sim",'Conta-Corrente'!XFC39,'Conta-Corrente'!XFC38)</f>
        <v>Fevereiro de 1902</v>
      </c>
      <c r="F39" s="6">
        <f>IF('Dados a Colocar'!$G$20="sim",'Conta-Corrente'!XFD39,'Conta-Corrente'!XFD38)</f>
        <v>0</v>
      </c>
      <c r="G39" s="132"/>
      <c r="H39" s="138"/>
      <c r="I39" s="133"/>
      <c r="J39" s="129">
        <f t="shared" si="1"/>
        <v>0</v>
      </c>
      <c r="K39" s="129">
        <f t="shared" si="2"/>
        <v>0</v>
      </c>
      <c r="L39" s="4">
        <f>YEAR(H39)</f>
        <v>1900</v>
      </c>
      <c r="XFB39" s="85" t="s">
        <v>129</v>
      </c>
      <c r="XFC39" s="85" t="str">
        <f>IFERROR(VLOOKUP(MONTH(C39)+1,Recibo!$IW$11:$IX$22,2,FALSE)&amp;" de "&amp;YEAR(C39),VLOOKUP(MONTH(C39)-11,Recibo!$IW$11:$IX$22,2,FALSE)&amp;" de "&amp;(YEAR(C39)+1))</f>
        <v>Março de 1902</v>
      </c>
      <c r="XFD39" s="91">
        <f>ROUND('Dados a Colocar'!$F$16+'Dados a Colocar'!$F$16*('Dados a Colocar'!$J$22+'Dados a Colocar'!$K$22),2)</f>
        <v>0</v>
      </c>
    </row>
    <row r="40" spans="1:12 16382:16384" x14ac:dyDescent="0.25">
      <c r="A40" s="4">
        <f t="shared" si="4"/>
        <v>1902</v>
      </c>
      <c r="B40" s="7" t="str">
        <f>"028/"&amp;YEAR(C40)</f>
        <v>028/1902</v>
      </c>
      <c r="C40" s="10">
        <f t="shared" si="3"/>
        <v>818</v>
      </c>
      <c r="D40" s="7" t="str">
        <f>IF('Dados a Colocar'!$G$20="sim",'Conta-Corrente'!XFB40,'Conta-Corrente'!XFB39)</f>
        <v>28.º mês de renda</v>
      </c>
      <c r="E40" s="7" t="str">
        <f>IF('Dados a Colocar'!$G$20="sim",'Conta-Corrente'!XFC40,'Conta-Corrente'!XFC39)</f>
        <v>Março de 1902</v>
      </c>
      <c r="F40" s="8">
        <f>IF('Dados a Colocar'!$G$20="sim",'Conta-Corrente'!XFD40,'Conta-Corrente'!XFD39)</f>
        <v>0</v>
      </c>
      <c r="G40" s="81"/>
      <c r="H40" s="137"/>
      <c r="I40" s="82"/>
      <c r="J40" s="129">
        <f t="shared" si="1"/>
        <v>0</v>
      </c>
      <c r="K40" s="129">
        <f t="shared" si="2"/>
        <v>0</v>
      </c>
      <c r="L40" s="4">
        <f>YEAR(H40)</f>
        <v>1900</v>
      </c>
      <c r="XFB40" s="7" t="s">
        <v>130</v>
      </c>
      <c r="XFC40" s="7" t="str">
        <f>IFERROR(VLOOKUP(MONTH(C40)+1,Recibo!$IW$11:$IX$22,2,FALSE)&amp;" de "&amp;YEAR(C40),VLOOKUP(MONTH(C40)-11,Recibo!$IW$11:$IX$22,2,FALSE)&amp;" de "&amp;(YEAR(C40)+1))</f>
        <v>Abril de 1902</v>
      </c>
      <c r="XFD40" s="91">
        <f>ROUND('Dados a Colocar'!$F$16+'Dados a Colocar'!$F$16*('Dados a Colocar'!$J$22+'Dados a Colocar'!$K$22),2)</f>
        <v>0</v>
      </c>
    </row>
    <row r="41" spans="1:12 16382:16384" x14ac:dyDescent="0.25">
      <c r="A41" s="4">
        <f t="shared" si="4"/>
        <v>1902</v>
      </c>
      <c r="B41" s="9" t="str">
        <f>"029/"&amp;YEAR(C41)</f>
        <v>029/1902</v>
      </c>
      <c r="C41" s="11">
        <f t="shared" si="3"/>
        <v>849</v>
      </c>
      <c r="D41" s="9" t="str">
        <f>IF('Dados a Colocar'!$G$20="sim",'Conta-Corrente'!XFB41,'Conta-Corrente'!XFB40)</f>
        <v>29.º mês de renda</v>
      </c>
      <c r="E41" s="9" t="str">
        <f>IF('Dados a Colocar'!$G$20="sim",'Conta-Corrente'!XFC41,'Conta-Corrente'!XFC40)</f>
        <v>Abril de 1902</v>
      </c>
      <c r="F41" s="6">
        <f>IF('Dados a Colocar'!$G$20="sim",'Conta-Corrente'!XFD41,'Conta-Corrente'!XFD40)</f>
        <v>0</v>
      </c>
      <c r="G41" s="132"/>
      <c r="H41" s="138"/>
      <c r="I41" s="133"/>
      <c r="J41" s="129">
        <f t="shared" si="1"/>
        <v>0</v>
      </c>
      <c r="K41" s="129">
        <f t="shared" si="2"/>
        <v>0</v>
      </c>
      <c r="L41" s="4">
        <f>YEAR(H41)</f>
        <v>1900</v>
      </c>
      <c r="XFB41" s="85" t="s">
        <v>131</v>
      </c>
      <c r="XFC41" s="85" t="str">
        <f>IFERROR(VLOOKUP(MONTH(C41)+1,Recibo!$IW$11:$IX$22,2,FALSE)&amp;" de "&amp;YEAR(C41),VLOOKUP(MONTH(C41)-11,Recibo!$IW$11:$IX$22,2,FALSE)&amp;" de "&amp;(YEAR(C41)+1))</f>
        <v>Maio de 1902</v>
      </c>
      <c r="XFD41" s="91">
        <f>ROUND('Dados a Colocar'!$F$16+'Dados a Colocar'!$F$16*('Dados a Colocar'!$J$22+'Dados a Colocar'!$K$22),2)</f>
        <v>0</v>
      </c>
    </row>
    <row r="42" spans="1:12 16382:16384" x14ac:dyDescent="0.25">
      <c r="A42" s="4">
        <f t="shared" si="4"/>
        <v>1902</v>
      </c>
      <c r="B42" s="7" t="str">
        <f>"030/"&amp;YEAR(C42)</f>
        <v>030/1902</v>
      </c>
      <c r="C42" s="10">
        <f t="shared" si="3"/>
        <v>879</v>
      </c>
      <c r="D42" s="7" t="str">
        <f>IF('Dados a Colocar'!$G$20="sim",'Conta-Corrente'!XFB42,'Conta-Corrente'!XFB41)</f>
        <v>30.º mês de renda</v>
      </c>
      <c r="E42" s="7" t="str">
        <f>IF('Dados a Colocar'!$G$20="sim",'Conta-Corrente'!XFC42,'Conta-Corrente'!XFC41)</f>
        <v>Maio de 1902</v>
      </c>
      <c r="F42" s="8">
        <f>IF('Dados a Colocar'!$G$20="sim",'Conta-Corrente'!XFD42,'Conta-Corrente'!XFD41)</f>
        <v>0</v>
      </c>
      <c r="G42" s="81"/>
      <c r="H42" s="137"/>
      <c r="I42" s="82"/>
      <c r="J42" s="129">
        <f t="shared" si="1"/>
        <v>0</v>
      </c>
      <c r="K42" s="129">
        <f t="shared" si="2"/>
        <v>0</v>
      </c>
      <c r="L42" s="4">
        <f>YEAR(H42)</f>
        <v>1900</v>
      </c>
      <c r="XFB42" s="7" t="s">
        <v>132</v>
      </c>
      <c r="XFC42" s="7" t="str">
        <f>IFERROR(VLOOKUP(MONTH(C42)+1,Recibo!$IW$11:$IX$22,2,FALSE)&amp;" de "&amp;YEAR(C42),VLOOKUP(MONTH(C42)-11,Recibo!$IW$11:$IX$22,2,FALSE)&amp;" de "&amp;(YEAR(C42)+1))</f>
        <v>Junho de 1902</v>
      </c>
      <c r="XFD42" s="91">
        <f>ROUND('Dados a Colocar'!$F$16+'Dados a Colocar'!$F$16*('Dados a Colocar'!$J$22+'Dados a Colocar'!$K$22),2)</f>
        <v>0</v>
      </c>
    </row>
    <row r="43" spans="1:12 16382:16384" x14ac:dyDescent="0.25">
      <c r="A43" s="4">
        <f t="shared" si="4"/>
        <v>1902</v>
      </c>
      <c r="B43" s="9" t="str">
        <f>"031/"&amp;YEAR(C43)</f>
        <v>031/1902</v>
      </c>
      <c r="C43" s="11">
        <f t="shared" si="3"/>
        <v>910</v>
      </c>
      <c r="D43" s="9" t="str">
        <f>IF('Dados a Colocar'!$G$20="sim",'Conta-Corrente'!XFB43,'Conta-Corrente'!XFB42)</f>
        <v>31.º mês de renda</v>
      </c>
      <c r="E43" s="9" t="str">
        <f>IF('Dados a Colocar'!$G$20="sim",'Conta-Corrente'!XFC43,'Conta-Corrente'!XFC42)</f>
        <v>Junho de 1902</v>
      </c>
      <c r="F43" s="6">
        <f>IF('Dados a Colocar'!$G$20="sim",'Conta-Corrente'!XFD43,'Conta-Corrente'!XFD42)</f>
        <v>0</v>
      </c>
      <c r="G43" s="132"/>
      <c r="H43" s="138"/>
      <c r="I43" s="133"/>
      <c r="J43" s="129">
        <f t="shared" si="1"/>
        <v>0</v>
      </c>
      <c r="K43" s="129">
        <f t="shared" si="2"/>
        <v>0</v>
      </c>
      <c r="L43" s="4">
        <f>YEAR(H43)</f>
        <v>1900</v>
      </c>
      <c r="XFB43" s="85" t="s">
        <v>133</v>
      </c>
      <c r="XFC43" s="85" t="str">
        <f>IFERROR(VLOOKUP(MONTH(C43)+1,Recibo!$IW$11:$IX$22,2,FALSE)&amp;" de "&amp;YEAR(C43),VLOOKUP(MONTH(C43)-11,Recibo!$IW$11:$IX$22,2,FALSE)&amp;" de "&amp;(YEAR(C43)+1))</f>
        <v>Julho de 1902</v>
      </c>
      <c r="XFD43" s="91">
        <f>ROUND('Dados a Colocar'!$F$16+'Dados a Colocar'!$F$16*('Dados a Colocar'!$J$22+'Dados a Colocar'!$K$22),2)</f>
        <v>0</v>
      </c>
    </row>
    <row r="44" spans="1:12 16382:16384" x14ac:dyDescent="0.25">
      <c r="A44" s="4">
        <f t="shared" si="4"/>
        <v>1902</v>
      </c>
      <c r="B44" s="7" t="str">
        <f>"032/"&amp;YEAR(C44)</f>
        <v>032/1902</v>
      </c>
      <c r="C44" s="10">
        <f t="shared" si="3"/>
        <v>940</v>
      </c>
      <c r="D44" s="7" t="str">
        <f>IF('Dados a Colocar'!$G$20="sim",'Conta-Corrente'!XFB44,'Conta-Corrente'!XFB43)</f>
        <v>32.º mês de renda</v>
      </c>
      <c r="E44" s="7" t="str">
        <f>IF('Dados a Colocar'!$G$20="sim",'Conta-Corrente'!XFC44,'Conta-Corrente'!XFC43)</f>
        <v>Julho de 1902</v>
      </c>
      <c r="F44" s="8">
        <f>IF('Dados a Colocar'!$G$20="sim",'Conta-Corrente'!XFD44,'Conta-Corrente'!XFD43)</f>
        <v>0</v>
      </c>
      <c r="G44" s="81"/>
      <c r="H44" s="137"/>
      <c r="I44" s="82"/>
      <c r="J44" s="129">
        <f t="shared" si="1"/>
        <v>0</v>
      </c>
      <c r="K44" s="129">
        <f t="shared" si="2"/>
        <v>0</v>
      </c>
      <c r="L44" s="4">
        <f>YEAR(H44)</f>
        <v>1900</v>
      </c>
      <c r="XFB44" s="7" t="s">
        <v>134</v>
      </c>
      <c r="XFC44" s="7" t="str">
        <f>IFERROR(VLOOKUP(MONTH(C44)+1,Recibo!$IW$11:$IX$22,2,FALSE)&amp;" de "&amp;YEAR(C44),VLOOKUP(MONTH(C44)-11,Recibo!$IW$11:$IX$22,2,FALSE)&amp;" de "&amp;(YEAR(C44)+1))</f>
        <v>Agosto de 1902</v>
      </c>
      <c r="XFD44" s="91">
        <f>ROUND('Dados a Colocar'!$F$16+'Dados a Colocar'!$F$16*('Dados a Colocar'!$J$22+'Dados a Colocar'!$K$22),2)</f>
        <v>0</v>
      </c>
    </row>
    <row r="45" spans="1:12 16382:16384" x14ac:dyDescent="0.25">
      <c r="A45" s="4">
        <f t="shared" si="4"/>
        <v>1902</v>
      </c>
      <c r="B45" s="9" t="str">
        <f>"033/"&amp;YEAR(C45)</f>
        <v>033/1902</v>
      </c>
      <c r="C45" s="11">
        <f t="shared" si="3"/>
        <v>971</v>
      </c>
      <c r="D45" s="9" t="str">
        <f>IF('Dados a Colocar'!$G$20="sim",'Conta-Corrente'!XFB45,'Conta-Corrente'!XFB44)</f>
        <v>33.º mês de renda</v>
      </c>
      <c r="E45" s="9" t="str">
        <f>IF('Dados a Colocar'!$G$20="sim",'Conta-Corrente'!XFC45,'Conta-Corrente'!XFC44)</f>
        <v>Agosto de 1902</v>
      </c>
      <c r="F45" s="6">
        <f>IF('Dados a Colocar'!$G$20="sim",'Conta-Corrente'!XFD45,'Conta-Corrente'!XFD44)</f>
        <v>0</v>
      </c>
      <c r="G45" s="132"/>
      <c r="H45" s="138"/>
      <c r="I45" s="133"/>
      <c r="J45" s="129">
        <f t="shared" si="1"/>
        <v>0</v>
      </c>
      <c r="K45" s="129">
        <f t="shared" si="2"/>
        <v>0</v>
      </c>
      <c r="L45" s="4">
        <f>YEAR(H45)</f>
        <v>1900</v>
      </c>
      <c r="XFB45" s="85" t="s">
        <v>135</v>
      </c>
      <c r="XFC45" s="85" t="str">
        <f>IFERROR(VLOOKUP(MONTH(C45)+1,Recibo!$IW$11:$IX$22,2,FALSE)&amp;" de "&amp;YEAR(C45),VLOOKUP(MONTH(C45)-11,Recibo!$IW$11:$IX$22,2,FALSE)&amp;" de "&amp;(YEAR(C45)+1))</f>
        <v>Setembro de 1902</v>
      </c>
      <c r="XFD45" s="91">
        <f>ROUND('Dados a Colocar'!$F$16+'Dados a Colocar'!$F$16*('Dados a Colocar'!$J$22+'Dados a Colocar'!$K$22),2)</f>
        <v>0</v>
      </c>
    </row>
    <row r="46" spans="1:12 16382:16384" x14ac:dyDescent="0.25">
      <c r="A46" s="4">
        <f t="shared" si="4"/>
        <v>1902</v>
      </c>
      <c r="B46" s="7" t="str">
        <f>"034/"&amp;YEAR(C46)</f>
        <v>034/1902</v>
      </c>
      <c r="C46" s="10">
        <f t="shared" si="3"/>
        <v>1002</v>
      </c>
      <c r="D46" s="7" t="str">
        <f>IF('Dados a Colocar'!$G$20="sim",'Conta-Corrente'!XFB46,'Conta-Corrente'!XFB45)</f>
        <v>34.º mês de renda</v>
      </c>
      <c r="E46" s="7" t="str">
        <f>IF('Dados a Colocar'!$G$20="sim",'Conta-Corrente'!XFC46,'Conta-Corrente'!XFC45)</f>
        <v>Setembro de 1902</v>
      </c>
      <c r="F46" s="8">
        <f>IF('Dados a Colocar'!$G$20="sim",'Conta-Corrente'!XFD46,'Conta-Corrente'!XFD45)</f>
        <v>0</v>
      </c>
      <c r="G46" s="81"/>
      <c r="H46" s="137"/>
      <c r="I46" s="82"/>
      <c r="J46" s="129">
        <f t="shared" si="1"/>
        <v>0</v>
      </c>
      <c r="K46" s="129">
        <f t="shared" si="2"/>
        <v>0</v>
      </c>
      <c r="L46" s="4">
        <f>YEAR(H46)</f>
        <v>1900</v>
      </c>
      <c r="XFB46" s="7" t="s">
        <v>136</v>
      </c>
      <c r="XFC46" s="7" t="str">
        <f>IFERROR(VLOOKUP(MONTH(C46)+1,Recibo!$IW$11:$IX$22,2,FALSE)&amp;" de "&amp;YEAR(C46),VLOOKUP(MONTH(C46)-11,Recibo!$IW$11:$IX$22,2,FALSE)&amp;" de "&amp;(YEAR(C46)+1))</f>
        <v>Outubro de 1902</v>
      </c>
      <c r="XFD46" s="91">
        <f>ROUND('Dados a Colocar'!$F$16+'Dados a Colocar'!$F$16*('Dados a Colocar'!$J$22+'Dados a Colocar'!$K$22),2)</f>
        <v>0</v>
      </c>
    </row>
    <row r="47" spans="1:12 16382:16384" x14ac:dyDescent="0.25">
      <c r="A47" s="4">
        <f t="shared" si="4"/>
        <v>1902</v>
      </c>
      <c r="B47" s="9" t="str">
        <f>"035/"&amp;YEAR(C47)</f>
        <v>035/1902</v>
      </c>
      <c r="C47" s="11">
        <f t="shared" si="3"/>
        <v>1032</v>
      </c>
      <c r="D47" s="9" t="str">
        <f>IF('Dados a Colocar'!$G$20="sim",'Conta-Corrente'!XFB47,'Conta-Corrente'!XFB46)</f>
        <v>35.º mês de renda</v>
      </c>
      <c r="E47" s="9" t="str">
        <f>IF('Dados a Colocar'!$G$20="sim",'Conta-Corrente'!XFC47,'Conta-Corrente'!XFC46)</f>
        <v>Outubro de 1902</v>
      </c>
      <c r="F47" s="6">
        <f>IF('Dados a Colocar'!$G$20="sim",'Conta-Corrente'!XFD47,'Conta-Corrente'!XFD46)</f>
        <v>0</v>
      </c>
      <c r="G47" s="132"/>
      <c r="H47" s="138"/>
      <c r="I47" s="133"/>
      <c r="J47" s="129">
        <f t="shared" si="1"/>
        <v>0</v>
      </c>
      <c r="K47" s="129">
        <f t="shared" si="2"/>
        <v>0</v>
      </c>
      <c r="L47" s="4">
        <f>YEAR(H47)</f>
        <v>1900</v>
      </c>
      <c r="XFB47" s="85" t="s">
        <v>137</v>
      </c>
      <c r="XFC47" s="85" t="str">
        <f>IFERROR(VLOOKUP(MONTH(C47)+1,Recibo!$IW$11:$IX$22,2,FALSE)&amp;" de "&amp;YEAR(C47),VLOOKUP(MONTH(C47)-11,Recibo!$IW$11:$IX$22,2,FALSE)&amp;" de "&amp;(YEAR(C47)+1))</f>
        <v>Novembro de 1902</v>
      </c>
      <c r="XFD47" s="91">
        <f>ROUND('Dados a Colocar'!$F$16+'Dados a Colocar'!$F$16*('Dados a Colocar'!$J$22+'Dados a Colocar'!$K$22),2)</f>
        <v>0</v>
      </c>
    </row>
    <row r="48" spans="1:12 16382:16384" x14ac:dyDescent="0.25">
      <c r="A48" s="4">
        <f t="shared" si="4"/>
        <v>1902</v>
      </c>
      <c r="B48" s="7" t="str">
        <f>"036/"&amp;YEAR(C48)</f>
        <v>036/1902</v>
      </c>
      <c r="C48" s="10">
        <f t="shared" si="3"/>
        <v>1063</v>
      </c>
      <c r="D48" s="7" t="str">
        <f>IF('Dados a Colocar'!$G$20="sim",'Conta-Corrente'!XFB48,'Conta-Corrente'!XFB47)</f>
        <v>36.º mês de renda</v>
      </c>
      <c r="E48" s="7" t="str">
        <f>IF('Dados a Colocar'!$G$20="sim",'Conta-Corrente'!XFC48,'Conta-Corrente'!XFC47)</f>
        <v>Novembro de 1902</v>
      </c>
      <c r="F48" s="8">
        <f>IF('Dados a Colocar'!$G$20="sim",'Conta-Corrente'!XFD48,'Conta-Corrente'!XFD47)</f>
        <v>0</v>
      </c>
      <c r="G48" s="81"/>
      <c r="H48" s="137"/>
      <c r="I48" s="82"/>
      <c r="J48" s="129">
        <f t="shared" si="1"/>
        <v>0</v>
      </c>
      <c r="K48" s="129">
        <f t="shared" si="2"/>
        <v>0</v>
      </c>
      <c r="L48" s="4">
        <f>YEAR(H48)</f>
        <v>1900</v>
      </c>
      <c r="XFB48" s="7" t="s">
        <v>138</v>
      </c>
      <c r="XFC48" s="7" t="str">
        <f>IFERROR(VLOOKUP(MONTH(C48)+1,Recibo!$IW$11:$IX$22,2,FALSE)&amp;" de "&amp;YEAR(C48),VLOOKUP(MONTH(C48)-11,Recibo!$IW$11:$IX$22,2,FALSE)&amp;" de "&amp;(YEAR(C48)+1))</f>
        <v>Dezembro de 1902</v>
      </c>
      <c r="XFD48" s="91">
        <f>ROUND('Dados a Colocar'!$F$16+'Dados a Colocar'!$F$16*('Dados a Colocar'!$J$22+'Dados a Colocar'!$K$22+'Dados a Colocar'!$L$22),2)</f>
        <v>0</v>
      </c>
    </row>
    <row r="49" spans="1:12 16382:16384" x14ac:dyDescent="0.25">
      <c r="A49" s="4">
        <f t="shared" si="4"/>
        <v>1902</v>
      </c>
      <c r="B49" s="9" t="str">
        <f>"037/"&amp;YEAR(C49)</f>
        <v>037/1902</v>
      </c>
      <c r="C49" s="11">
        <f t="shared" si="3"/>
        <v>1093</v>
      </c>
      <c r="D49" s="9" t="str">
        <f>IF('Dados a Colocar'!$G$20="sim",'Conta-Corrente'!XFB49,'Conta-Corrente'!XFB48)</f>
        <v>37.º mês de renda</v>
      </c>
      <c r="E49" s="9" t="str">
        <f>IF('Dados a Colocar'!$G$20="sim",'Conta-Corrente'!XFC49,'Conta-Corrente'!XFC48)</f>
        <v>Dezembro de 1902</v>
      </c>
      <c r="F49" s="6">
        <f>IF('Dados a Colocar'!$G$20="sim",'Conta-Corrente'!XFD49,'Conta-Corrente'!XFD48)</f>
        <v>0</v>
      </c>
      <c r="G49" s="132"/>
      <c r="H49" s="138"/>
      <c r="I49" s="133"/>
      <c r="J49" s="129">
        <f t="shared" si="1"/>
        <v>0</v>
      </c>
      <c r="K49" s="129">
        <f t="shared" si="2"/>
        <v>0</v>
      </c>
      <c r="L49" s="4">
        <f>YEAR(H49)</f>
        <v>1900</v>
      </c>
      <c r="XFB49" s="85" t="s">
        <v>139</v>
      </c>
      <c r="XFC49" s="85" t="str">
        <f>IFERROR(VLOOKUP(MONTH(C49)+1,Recibo!$IW$11:$IX$22,2,FALSE)&amp;" de "&amp;YEAR(C49),VLOOKUP(MONTH(C49)-11,Recibo!$IW$11:$IX$22,2,FALSE)&amp;" de "&amp;(YEAR(C49)+1))</f>
        <v>Janeiro de 1903</v>
      </c>
      <c r="XFD49" s="91">
        <f>ROUND('Dados a Colocar'!$F$16+'Dados a Colocar'!$F$16*('Dados a Colocar'!$J$22+'Dados a Colocar'!$K$22+'Dados a Colocar'!$L$22),2)</f>
        <v>0</v>
      </c>
    </row>
    <row r="50" spans="1:12 16382:16384" x14ac:dyDescent="0.25">
      <c r="A50" s="4">
        <f t="shared" si="4"/>
        <v>1903</v>
      </c>
      <c r="B50" s="7" t="str">
        <f>"038/"&amp;YEAR(C50)</f>
        <v>038/1903</v>
      </c>
      <c r="C50" s="10">
        <f t="shared" si="3"/>
        <v>1124</v>
      </c>
      <c r="D50" s="7" t="str">
        <f>IF('Dados a Colocar'!$G$20="sim",'Conta-Corrente'!XFB50,'Conta-Corrente'!XFB49)</f>
        <v>38.º mês de renda</v>
      </c>
      <c r="E50" s="7" t="str">
        <f>IF('Dados a Colocar'!$G$20="sim",'Conta-Corrente'!XFC50,'Conta-Corrente'!XFC49)</f>
        <v>Janeiro de 1903</v>
      </c>
      <c r="F50" s="8">
        <f>IF('Dados a Colocar'!$G$20="sim",'Conta-Corrente'!XFD50,'Conta-Corrente'!XFD49)</f>
        <v>0</v>
      </c>
      <c r="G50" s="81"/>
      <c r="H50" s="137"/>
      <c r="I50" s="82"/>
      <c r="J50" s="129">
        <f t="shared" si="1"/>
        <v>0</v>
      </c>
      <c r="K50" s="129">
        <f t="shared" si="2"/>
        <v>0</v>
      </c>
      <c r="L50" s="4">
        <f>YEAR(H50)</f>
        <v>1900</v>
      </c>
      <c r="XFB50" s="7" t="s">
        <v>140</v>
      </c>
      <c r="XFC50" s="7" t="str">
        <f>IFERROR(VLOOKUP(MONTH(C50)+1,Recibo!$IW$11:$IX$22,2,FALSE)&amp;" de "&amp;YEAR(C50),VLOOKUP(MONTH(C50)-11,Recibo!$IW$11:$IX$22,2,FALSE)&amp;" de "&amp;(YEAR(C50)+1))</f>
        <v>Fevereiro de 1903</v>
      </c>
      <c r="XFD50" s="91">
        <f>ROUND('Dados a Colocar'!$F$16+'Dados a Colocar'!$F$16*('Dados a Colocar'!$J$22+'Dados a Colocar'!$K$22+'Dados a Colocar'!$L$22),2)</f>
        <v>0</v>
      </c>
    </row>
    <row r="51" spans="1:12 16382:16384" x14ac:dyDescent="0.25">
      <c r="A51" s="4">
        <f t="shared" si="4"/>
        <v>1903</v>
      </c>
      <c r="B51" s="9" t="str">
        <f>"039/"&amp;YEAR(C51)</f>
        <v>039/1903</v>
      </c>
      <c r="C51" s="11">
        <f t="shared" si="3"/>
        <v>1155</v>
      </c>
      <c r="D51" s="9" t="str">
        <f>IF('Dados a Colocar'!$G$20="sim",'Conta-Corrente'!XFB51,'Conta-Corrente'!XFB50)</f>
        <v>39.º mês de renda</v>
      </c>
      <c r="E51" s="9" t="str">
        <f>IF('Dados a Colocar'!$G$20="sim",'Conta-Corrente'!XFC51,'Conta-Corrente'!XFC50)</f>
        <v>Fevereiro de 1903</v>
      </c>
      <c r="F51" s="6">
        <f>IF('Dados a Colocar'!$G$20="sim",'Conta-Corrente'!XFD51,'Conta-Corrente'!XFD50)</f>
        <v>0</v>
      </c>
      <c r="G51" s="132"/>
      <c r="H51" s="138"/>
      <c r="I51" s="133"/>
      <c r="J51" s="129">
        <f t="shared" si="1"/>
        <v>0</v>
      </c>
      <c r="K51" s="129">
        <f t="shared" si="2"/>
        <v>0</v>
      </c>
      <c r="L51" s="4">
        <f>YEAR(H51)</f>
        <v>1900</v>
      </c>
      <c r="XFB51" s="85" t="s">
        <v>141</v>
      </c>
      <c r="XFC51" s="85" t="str">
        <f>IFERROR(VLOOKUP(MONTH(C51)+1,Recibo!$IW$11:$IX$22,2,FALSE)&amp;" de "&amp;YEAR(C51),VLOOKUP(MONTH(C51)-11,Recibo!$IW$11:$IX$22,2,FALSE)&amp;" de "&amp;(YEAR(C51)+1))</f>
        <v>Março de 1903</v>
      </c>
      <c r="XFD51" s="91">
        <f>ROUND('Dados a Colocar'!$F$16+'Dados a Colocar'!$F$16*('Dados a Colocar'!$J$22+'Dados a Colocar'!$K$22+'Dados a Colocar'!$L$22),2)</f>
        <v>0</v>
      </c>
    </row>
    <row r="52" spans="1:12 16382:16384" x14ac:dyDescent="0.25">
      <c r="A52" s="4">
        <f t="shared" si="4"/>
        <v>1903</v>
      </c>
      <c r="B52" s="7" t="str">
        <f>"040/"&amp;YEAR(C52)</f>
        <v>040/1903</v>
      </c>
      <c r="C52" s="10">
        <f t="shared" si="3"/>
        <v>1183</v>
      </c>
      <c r="D52" s="7" t="str">
        <f>IF('Dados a Colocar'!$G$20="sim",'Conta-Corrente'!XFB52,'Conta-Corrente'!XFB51)</f>
        <v>40.º mês de renda</v>
      </c>
      <c r="E52" s="7" t="str">
        <f>IF('Dados a Colocar'!$G$20="sim",'Conta-Corrente'!XFC52,'Conta-Corrente'!XFC51)</f>
        <v>Março de 1903</v>
      </c>
      <c r="F52" s="8">
        <f>IF('Dados a Colocar'!$G$20="sim",'Conta-Corrente'!XFD52,'Conta-Corrente'!XFD51)</f>
        <v>0</v>
      </c>
      <c r="G52" s="81"/>
      <c r="H52" s="137"/>
      <c r="I52" s="82"/>
      <c r="J52" s="129">
        <f t="shared" si="1"/>
        <v>0</v>
      </c>
      <c r="K52" s="129">
        <f t="shared" si="2"/>
        <v>0</v>
      </c>
      <c r="L52" s="4">
        <f>YEAR(H52)</f>
        <v>1900</v>
      </c>
      <c r="XFB52" s="7" t="s">
        <v>142</v>
      </c>
      <c r="XFC52" s="7" t="str">
        <f>IFERROR(VLOOKUP(MONTH(C52)+1,Recibo!$IW$11:$IX$22,2,FALSE)&amp;" de "&amp;YEAR(C52),VLOOKUP(MONTH(C52)-11,Recibo!$IW$11:$IX$22,2,FALSE)&amp;" de "&amp;(YEAR(C52)+1))</f>
        <v>Abril de 1903</v>
      </c>
      <c r="XFD52" s="91">
        <f>ROUND('Dados a Colocar'!$F$16+'Dados a Colocar'!$F$16*('Dados a Colocar'!$J$22+'Dados a Colocar'!$K$22+'Dados a Colocar'!$L$22),2)</f>
        <v>0</v>
      </c>
    </row>
    <row r="53" spans="1:12 16382:16384" x14ac:dyDescent="0.25">
      <c r="A53" s="4">
        <f t="shared" si="4"/>
        <v>1903</v>
      </c>
      <c r="B53" s="9" t="str">
        <f>"041/"&amp;YEAR(C53)</f>
        <v>041/1903</v>
      </c>
      <c r="C53" s="11">
        <f t="shared" si="3"/>
        <v>1214</v>
      </c>
      <c r="D53" s="9" t="str">
        <f>IF('Dados a Colocar'!$G$20="sim",'Conta-Corrente'!XFB53,'Conta-Corrente'!XFB52)</f>
        <v>41.º mês de renda</v>
      </c>
      <c r="E53" s="9" t="str">
        <f>IF('Dados a Colocar'!$G$20="sim",'Conta-Corrente'!XFC53,'Conta-Corrente'!XFC52)</f>
        <v>Abril de 1903</v>
      </c>
      <c r="F53" s="6">
        <f>IF('Dados a Colocar'!$G$20="sim",'Conta-Corrente'!XFD53,'Conta-Corrente'!XFD52)</f>
        <v>0</v>
      </c>
      <c r="G53" s="132"/>
      <c r="H53" s="138"/>
      <c r="I53" s="133"/>
      <c r="J53" s="129">
        <f t="shared" si="1"/>
        <v>0</v>
      </c>
      <c r="K53" s="129">
        <f t="shared" si="2"/>
        <v>0</v>
      </c>
      <c r="L53" s="4">
        <f>YEAR(H53)</f>
        <v>1900</v>
      </c>
      <c r="XFB53" s="85" t="s">
        <v>143</v>
      </c>
      <c r="XFC53" s="85" t="str">
        <f>IFERROR(VLOOKUP(MONTH(C53)+1,Recibo!$IW$11:$IX$22,2,FALSE)&amp;" de "&amp;YEAR(C53),VLOOKUP(MONTH(C53)-11,Recibo!$IW$11:$IX$22,2,FALSE)&amp;" de "&amp;(YEAR(C53)+1))</f>
        <v>Maio de 1903</v>
      </c>
      <c r="XFD53" s="91">
        <f>ROUND('Dados a Colocar'!$F$16+'Dados a Colocar'!$F$16*('Dados a Colocar'!$J$22+'Dados a Colocar'!$K$22+'Dados a Colocar'!$L$22),2)</f>
        <v>0</v>
      </c>
    </row>
    <row r="54" spans="1:12 16382:16384" x14ac:dyDescent="0.25">
      <c r="A54" s="4">
        <f t="shared" si="4"/>
        <v>1903</v>
      </c>
      <c r="B54" s="7" t="str">
        <f>"042/"&amp;YEAR(C54)</f>
        <v>042/1903</v>
      </c>
      <c r="C54" s="10">
        <f t="shared" si="3"/>
        <v>1244</v>
      </c>
      <c r="D54" s="7" t="str">
        <f>IF('Dados a Colocar'!$G$20="sim",'Conta-Corrente'!XFB54,'Conta-Corrente'!XFB53)</f>
        <v>42.º mês de renda</v>
      </c>
      <c r="E54" s="7" t="str">
        <f>IF('Dados a Colocar'!$G$20="sim",'Conta-Corrente'!XFC54,'Conta-Corrente'!XFC53)</f>
        <v>Maio de 1903</v>
      </c>
      <c r="F54" s="8">
        <f>IF('Dados a Colocar'!$G$20="sim",'Conta-Corrente'!XFD54,'Conta-Corrente'!XFD53)</f>
        <v>0</v>
      </c>
      <c r="G54" s="81"/>
      <c r="H54" s="137"/>
      <c r="I54" s="82"/>
      <c r="J54" s="129">
        <f t="shared" si="1"/>
        <v>0</v>
      </c>
      <c r="K54" s="129">
        <f t="shared" si="2"/>
        <v>0</v>
      </c>
      <c r="L54" s="4">
        <f>YEAR(H54)</f>
        <v>1900</v>
      </c>
      <c r="XFB54" s="7" t="s">
        <v>144</v>
      </c>
      <c r="XFC54" s="7" t="str">
        <f>IFERROR(VLOOKUP(MONTH(C54)+1,Recibo!$IW$11:$IX$22,2,FALSE)&amp;" de "&amp;YEAR(C54),VLOOKUP(MONTH(C54)-11,Recibo!$IW$11:$IX$22,2,FALSE)&amp;" de "&amp;(YEAR(C54)+1))</f>
        <v>Junho de 1903</v>
      </c>
      <c r="XFD54" s="91">
        <f>ROUND('Dados a Colocar'!$F$16+'Dados a Colocar'!$F$16*('Dados a Colocar'!$J$22+'Dados a Colocar'!$K$22+'Dados a Colocar'!$L$22),2)</f>
        <v>0</v>
      </c>
    </row>
    <row r="55" spans="1:12 16382:16384" x14ac:dyDescent="0.25">
      <c r="A55" s="4">
        <f t="shared" si="4"/>
        <v>1903</v>
      </c>
      <c r="B55" s="9" t="str">
        <f>"043/"&amp;YEAR(C55)</f>
        <v>043/1903</v>
      </c>
      <c r="C55" s="11">
        <f t="shared" si="3"/>
        <v>1275</v>
      </c>
      <c r="D55" s="9" t="str">
        <f>IF('Dados a Colocar'!$G$20="sim",'Conta-Corrente'!XFB55,'Conta-Corrente'!XFB54)</f>
        <v>43.º mês de renda</v>
      </c>
      <c r="E55" s="9" t="str">
        <f>IF('Dados a Colocar'!$G$20="sim",'Conta-Corrente'!XFC55,'Conta-Corrente'!XFC54)</f>
        <v>Junho de 1903</v>
      </c>
      <c r="F55" s="6">
        <f>IF('Dados a Colocar'!$G$20="sim",'Conta-Corrente'!XFD55,'Conta-Corrente'!XFD54)</f>
        <v>0</v>
      </c>
      <c r="G55" s="132"/>
      <c r="H55" s="138"/>
      <c r="I55" s="133"/>
      <c r="J55" s="129">
        <f t="shared" si="1"/>
        <v>0</v>
      </c>
      <c r="K55" s="129">
        <f t="shared" si="2"/>
        <v>0</v>
      </c>
      <c r="L55" s="4">
        <f>YEAR(H55)</f>
        <v>1900</v>
      </c>
      <c r="XFB55" s="85" t="s">
        <v>145</v>
      </c>
      <c r="XFC55" s="85" t="str">
        <f>IFERROR(VLOOKUP(MONTH(C55)+1,Recibo!$IW$11:$IX$22,2,FALSE)&amp;" de "&amp;YEAR(C55),VLOOKUP(MONTH(C55)-11,Recibo!$IW$11:$IX$22,2,FALSE)&amp;" de "&amp;(YEAR(C55)+1))</f>
        <v>Julho de 1903</v>
      </c>
      <c r="XFD55" s="91">
        <f>ROUND('Dados a Colocar'!$F$16+'Dados a Colocar'!$F$16*('Dados a Colocar'!$J$22+'Dados a Colocar'!$K$22+'Dados a Colocar'!$L$22),2)</f>
        <v>0</v>
      </c>
    </row>
    <row r="56" spans="1:12 16382:16384" x14ac:dyDescent="0.25">
      <c r="A56" s="4">
        <f t="shared" si="4"/>
        <v>1903</v>
      </c>
      <c r="B56" s="7" t="str">
        <f>"044/"&amp;YEAR(C56)</f>
        <v>044/1903</v>
      </c>
      <c r="C56" s="10">
        <f t="shared" si="3"/>
        <v>1305</v>
      </c>
      <c r="D56" s="7" t="str">
        <f>IF('Dados a Colocar'!$G$20="sim",'Conta-Corrente'!XFB56,'Conta-Corrente'!XFB55)</f>
        <v>44.º mês de renda</v>
      </c>
      <c r="E56" s="7" t="str">
        <f>IF('Dados a Colocar'!$G$20="sim",'Conta-Corrente'!XFC56,'Conta-Corrente'!XFC55)</f>
        <v>Julho de 1903</v>
      </c>
      <c r="F56" s="8">
        <f>IF('Dados a Colocar'!$G$20="sim",'Conta-Corrente'!XFD56,'Conta-Corrente'!XFD55)</f>
        <v>0</v>
      </c>
      <c r="G56" s="81"/>
      <c r="H56" s="137"/>
      <c r="I56" s="82"/>
      <c r="J56" s="129">
        <f t="shared" si="1"/>
        <v>0</v>
      </c>
      <c r="K56" s="129">
        <f t="shared" si="2"/>
        <v>0</v>
      </c>
      <c r="L56" s="4">
        <f>YEAR(H56)</f>
        <v>1900</v>
      </c>
      <c r="XFB56" s="7" t="s">
        <v>146</v>
      </c>
      <c r="XFC56" s="7" t="str">
        <f>IFERROR(VLOOKUP(MONTH(C56)+1,Recibo!$IW$11:$IX$22,2,FALSE)&amp;" de "&amp;YEAR(C56),VLOOKUP(MONTH(C56)-11,Recibo!$IW$11:$IX$22,2,FALSE)&amp;" de "&amp;(YEAR(C56)+1))</f>
        <v>Agosto de 1903</v>
      </c>
      <c r="XFD56" s="91">
        <f>ROUND('Dados a Colocar'!$F$16+'Dados a Colocar'!$F$16*('Dados a Colocar'!$J$22+'Dados a Colocar'!$K$22+'Dados a Colocar'!$L$22),2)</f>
        <v>0</v>
      </c>
    </row>
    <row r="57" spans="1:12 16382:16384" x14ac:dyDescent="0.25">
      <c r="A57" s="4">
        <f t="shared" si="4"/>
        <v>1903</v>
      </c>
      <c r="B57" s="9" t="str">
        <f>"045/"&amp;YEAR(C57)</f>
        <v>045/1903</v>
      </c>
      <c r="C57" s="11">
        <f t="shared" si="3"/>
        <v>1336</v>
      </c>
      <c r="D57" s="9" t="str">
        <f>IF('Dados a Colocar'!$G$20="sim",'Conta-Corrente'!XFB57,'Conta-Corrente'!XFB56)</f>
        <v>45.º mês de renda</v>
      </c>
      <c r="E57" s="9" t="str">
        <f>IF('Dados a Colocar'!$G$20="sim",'Conta-Corrente'!XFC57,'Conta-Corrente'!XFC56)</f>
        <v>Agosto de 1903</v>
      </c>
      <c r="F57" s="6">
        <f>IF('Dados a Colocar'!$G$20="sim",'Conta-Corrente'!XFD57,'Conta-Corrente'!XFD56)</f>
        <v>0</v>
      </c>
      <c r="G57" s="132"/>
      <c r="H57" s="138"/>
      <c r="I57" s="133"/>
      <c r="J57" s="129">
        <f t="shared" si="1"/>
        <v>0</v>
      </c>
      <c r="K57" s="129">
        <f t="shared" si="2"/>
        <v>0</v>
      </c>
      <c r="L57" s="4">
        <f>YEAR(H57)</f>
        <v>1900</v>
      </c>
      <c r="XFB57" s="85" t="s">
        <v>147</v>
      </c>
      <c r="XFC57" s="85" t="str">
        <f>IFERROR(VLOOKUP(MONTH(C57)+1,Recibo!$IW$11:$IX$22,2,FALSE)&amp;" de "&amp;YEAR(C57),VLOOKUP(MONTH(C57)-11,Recibo!$IW$11:$IX$22,2,FALSE)&amp;" de "&amp;(YEAR(C57)+1))</f>
        <v>Setembro de 1903</v>
      </c>
      <c r="XFD57" s="91">
        <f>ROUND('Dados a Colocar'!$F$16+'Dados a Colocar'!$F$16*('Dados a Colocar'!$J$22+'Dados a Colocar'!$K$22+'Dados a Colocar'!$L$22),2)</f>
        <v>0</v>
      </c>
    </row>
    <row r="58" spans="1:12 16382:16384" x14ac:dyDescent="0.25">
      <c r="A58" s="4">
        <f t="shared" si="4"/>
        <v>1903</v>
      </c>
      <c r="B58" s="7" t="str">
        <f>"046/"&amp;YEAR(C58)</f>
        <v>046/1903</v>
      </c>
      <c r="C58" s="10">
        <f t="shared" si="3"/>
        <v>1367</v>
      </c>
      <c r="D58" s="7" t="str">
        <f>IF('Dados a Colocar'!$G$20="sim",'Conta-Corrente'!XFB58,'Conta-Corrente'!XFB57)</f>
        <v>46.º mês de renda</v>
      </c>
      <c r="E58" s="7" t="str">
        <f>IF('Dados a Colocar'!$G$20="sim",'Conta-Corrente'!XFC58,'Conta-Corrente'!XFC57)</f>
        <v>Setembro de 1903</v>
      </c>
      <c r="F58" s="8">
        <f>IF('Dados a Colocar'!$G$20="sim",'Conta-Corrente'!XFD58,'Conta-Corrente'!XFD57)</f>
        <v>0</v>
      </c>
      <c r="G58" s="81"/>
      <c r="H58" s="137"/>
      <c r="I58" s="82"/>
      <c r="J58" s="129">
        <f t="shared" si="1"/>
        <v>0</v>
      </c>
      <c r="K58" s="129">
        <f t="shared" si="2"/>
        <v>0</v>
      </c>
      <c r="L58" s="4">
        <f>YEAR(H58)</f>
        <v>1900</v>
      </c>
      <c r="XFB58" s="7" t="s">
        <v>148</v>
      </c>
      <c r="XFC58" s="7" t="str">
        <f>IFERROR(VLOOKUP(MONTH(C58)+1,Recibo!$IW$11:$IX$22,2,FALSE)&amp;" de "&amp;YEAR(C58),VLOOKUP(MONTH(C58)-11,Recibo!$IW$11:$IX$22,2,FALSE)&amp;" de "&amp;(YEAR(C58)+1))</f>
        <v>Outubro de 1903</v>
      </c>
      <c r="XFD58" s="91">
        <f>ROUND('Dados a Colocar'!$F$16+'Dados a Colocar'!$F$16*('Dados a Colocar'!$J$22+'Dados a Colocar'!$K$22+'Dados a Colocar'!$L$22),2)</f>
        <v>0</v>
      </c>
    </row>
    <row r="59" spans="1:12 16382:16384" x14ac:dyDescent="0.25">
      <c r="A59" s="4">
        <f t="shared" si="4"/>
        <v>1903</v>
      </c>
      <c r="B59" s="9" t="str">
        <f>"047/"&amp;YEAR(C59)</f>
        <v>047/1903</v>
      </c>
      <c r="C59" s="11">
        <f t="shared" si="3"/>
        <v>1397</v>
      </c>
      <c r="D59" s="9" t="str">
        <f>IF('Dados a Colocar'!$G$20="sim",'Conta-Corrente'!XFB59,'Conta-Corrente'!XFB58)</f>
        <v>47.º mês de renda</v>
      </c>
      <c r="E59" s="9" t="str">
        <f>IF('Dados a Colocar'!$G$20="sim",'Conta-Corrente'!XFC59,'Conta-Corrente'!XFC58)</f>
        <v>Outubro de 1903</v>
      </c>
      <c r="F59" s="6">
        <f>IF('Dados a Colocar'!$G$20="sim",'Conta-Corrente'!XFD59,'Conta-Corrente'!XFD58)</f>
        <v>0</v>
      </c>
      <c r="G59" s="132"/>
      <c r="H59" s="138"/>
      <c r="I59" s="133"/>
      <c r="J59" s="129">
        <f t="shared" si="1"/>
        <v>0</v>
      </c>
      <c r="K59" s="129">
        <f t="shared" si="2"/>
        <v>0</v>
      </c>
      <c r="L59" s="4">
        <f>YEAR(H59)</f>
        <v>1900</v>
      </c>
      <c r="XFB59" s="85" t="s">
        <v>149</v>
      </c>
      <c r="XFC59" s="85" t="str">
        <f>IFERROR(VLOOKUP(MONTH(C59)+1,Recibo!$IW$11:$IX$22,2,FALSE)&amp;" de "&amp;YEAR(C59),VLOOKUP(MONTH(C59)-11,Recibo!$IW$11:$IX$22,2,FALSE)&amp;" de "&amp;(YEAR(C59)+1))</f>
        <v>Novembro de 1903</v>
      </c>
      <c r="XFD59" s="91">
        <f>ROUND('Dados a Colocar'!$F$16+'Dados a Colocar'!$F$16*('Dados a Colocar'!$J$22+'Dados a Colocar'!$K$22+'Dados a Colocar'!$L$22),2)</f>
        <v>0</v>
      </c>
    </row>
    <row r="60" spans="1:12 16382:16384" x14ac:dyDescent="0.25">
      <c r="A60" s="4">
        <f t="shared" si="4"/>
        <v>1903</v>
      </c>
      <c r="B60" s="7" t="str">
        <f>"048/"&amp;YEAR(C60)</f>
        <v>048/1903</v>
      </c>
      <c r="C60" s="10">
        <f t="shared" si="3"/>
        <v>1428</v>
      </c>
      <c r="D60" s="7" t="str">
        <f>IF('Dados a Colocar'!$G$20="sim",'Conta-Corrente'!XFB60,'Conta-Corrente'!XFB59)</f>
        <v>48.º mês de renda</v>
      </c>
      <c r="E60" s="7" t="str">
        <f>IF('Dados a Colocar'!$G$20="sim",'Conta-Corrente'!XFC60,'Conta-Corrente'!XFC59)</f>
        <v>Novembro de 1903</v>
      </c>
      <c r="F60" s="8">
        <f>IF('Dados a Colocar'!$G$20="sim",'Conta-Corrente'!XFD60,'Conta-Corrente'!XFD59)</f>
        <v>0</v>
      </c>
      <c r="G60" s="81"/>
      <c r="H60" s="137"/>
      <c r="I60" s="82"/>
      <c r="J60" s="129">
        <f t="shared" si="1"/>
        <v>0</v>
      </c>
      <c r="K60" s="129">
        <f t="shared" si="2"/>
        <v>0</v>
      </c>
      <c r="L60" s="4">
        <f>YEAR(H60)</f>
        <v>1900</v>
      </c>
      <c r="XFB60" s="7" t="s">
        <v>150</v>
      </c>
      <c r="XFC60" s="7" t="str">
        <f>IFERROR(VLOOKUP(MONTH(C60)+1,Recibo!$IW$11:$IX$22,2,FALSE)&amp;" de "&amp;YEAR(C60),VLOOKUP(MONTH(C60)-11,Recibo!$IW$11:$IX$22,2,FALSE)&amp;" de "&amp;(YEAR(C60)+1))</f>
        <v>Dezembro de 1903</v>
      </c>
      <c r="XFD60" s="91">
        <f>ROUND('Dados a Colocar'!$F$16+'Dados a Colocar'!$F$16*('Dados a Colocar'!$J$22+'Dados a Colocar'!$K$22+'Dados a Colocar'!$L$22+'Dados a Colocar'!$M$22),2)</f>
        <v>0</v>
      </c>
    </row>
    <row r="61" spans="1:12 16382:16384" x14ac:dyDescent="0.25">
      <c r="A61" s="4">
        <f t="shared" si="4"/>
        <v>1903</v>
      </c>
      <c r="B61" s="9" t="str">
        <f>"049/"&amp;YEAR(C61)</f>
        <v>049/1903</v>
      </c>
      <c r="C61" s="11">
        <f t="shared" si="3"/>
        <v>1458</v>
      </c>
      <c r="D61" s="9" t="str">
        <f>IF('Dados a Colocar'!$G$20="sim",'Conta-Corrente'!XFB61,'Conta-Corrente'!XFB60)</f>
        <v>49.º mês de renda</v>
      </c>
      <c r="E61" s="9" t="str">
        <f>IF('Dados a Colocar'!$G$20="sim",'Conta-Corrente'!XFC61,'Conta-Corrente'!XFC60)</f>
        <v>Dezembro de 1903</v>
      </c>
      <c r="F61" s="6">
        <f>IF('Dados a Colocar'!$G$20="sim",'Conta-Corrente'!XFD61,'Conta-Corrente'!XFD60)</f>
        <v>0</v>
      </c>
      <c r="G61" s="132"/>
      <c r="H61" s="138"/>
      <c r="I61" s="133"/>
      <c r="J61" s="129">
        <f t="shared" si="1"/>
        <v>0</v>
      </c>
      <c r="K61" s="129">
        <f t="shared" si="2"/>
        <v>0</v>
      </c>
      <c r="L61" s="4">
        <f>YEAR(H61)</f>
        <v>1900</v>
      </c>
      <c r="XFB61" s="85" t="s">
        <v>151</v>
      </c>
      <c r="XFC61" s="85" t="str">
        <f>IFERROR(VLOOKUP(MONTH(C61)+1,Recibo!$IW$11:$IX$22,2,FALSE)&amp;" de "&amp;YEAR(C61),VLOOKUP(MONTH(C61)-11,Recibo!$IW$11:$IX$22,2,FALSE)&amp;" de "&amp;(YEAR(C61)+1))</f>
        <v>Janeiro de 1904</v>
      </c>
      <c r="XFD61" s="91">
        <f>ROUND('Dados a Colocar'!$F$16+'Dados a Colocar'!$F$16*('Dados a Colocar'!$J$22+'Dados a Colocar'!$K$22+'Dados a Colocar'!$L$22+'Dados a Colocar'!$M$22),2)</f>
        <v>0</v>
      </c>
    </row>
    <row r="62" spans="1:12 16382:16384" x14ac:dyDescent="0.25">
      <c r="A62" s="4">
        <f t="shared" si="4"/>
        <v>1904</v>
      </c>
      <c r="B62" s="7" t="str">
        <f>"050/"&amp;YEAR(C62)</f>
        <v>050/1904</v>
      </c>
      <c r="C62" s="10">
        <f t="shared" si="3"/>
        <v>1489</v>
      </c>
      <c r="D62" s="7" t="str">
        <f>IF('Dados a Colocar'!$G$20="sim",'Conta-Corrente'!XFB62,'Conta-Corrente'!XFB61)</f>
        <v>50.º mês de renda</v>
      </c>
      <c r="E62" s="7" t="str">
        <f>IF('Dados a Colocar'!$G$20="sim",'Conta-Corrente'!XFC62,'Conta-Corrente'!XFC61)</f>
        <v>Janeiro de 1904</v>
      </c>
      <c r="F62" s="8">
        <f>IF('Dados a Colocar'!$G$20="sim",'Conta-Corrente'!XFD62,'Conta-Corrente'!XFD61)</f>
        <v>0</v>
      </c>
      <c r="G62" s="81"/>
      <c r="H62" s="137"/>
      <c r="I62" s="82"/>
      <c r="J62" s="129">
        <f t="shared" si="1"/>
        <v>0</v>
      </c>
      <c r="K62" s="129">
        <f t="shared" si="2"/>
        <v>0</v>
      </c>
      <c r="L62" s="4">
        <f>YEAR(H62)</f>
        <v>1900</v>
      </c>
      <c r="XFB62" s="7" t="s">
        <v>152</v>
      </c>
      <c r="XFC62" s="7" t="str">
        <f>IFERROR(VLOOKUP(MONTH(C62)+1,Recibo!$IW$11:$IX$22,2,FALSE)&amp;" de "&amp;YEAR(C62),VLOOKUP(MONTH(C62)-11,Recibo!$IW$11:$IX$22,2,FALSE)&amp;" de "&amp;(YEAR(C62)+1))</f>
        <v>Fevereiro de 1904</v>
      </c>
      <c r="XFD62" s="91">
        <f>ROUND('Dados a Colocar'!$F$16+'Dados a Colocar'!$F$16*('Dados a Colocar'!$J$22+'Dados a Colocar'!$K$22+'Dados a Colocar'!$L$22+'Dados a Colocar'!$M$22),2)</f>
        <v>0</v>
      </c>
    </row>
    <row r="63" spans="1:12 16382:16384" x14ac:dyDescent="0.25">
      <c r="A63" s="4">
        <f t="shared" si="4"/>
        <v>1904</v>
      </c>
      <c r="B63" s="9" t="str">
        <f>"051/"&amp;YEAR(C63)</f>
        <v>051/1904</v>
      </c>
      <c r="C63" s="11">
        <f t="shared" si="3"/>
        <v>1520</v>
      </c>
      <c r="D63" s="9" t="str">
        <f>IF('Dados a Colocar'!$G$20="sim",'Conta-Corrente'!XFB63,'Conta-Corrente'!XFB62)</f>
        <v>51.º mês de renda</v>
      </c>
      <c r="E63" s="9" t="str">
        <f>IF('Dados a Colocar'!$G$20="sim",'Conta-Corrente'!XFC63,'Conta-Corrente'!XFC62)</f>
        <v>Fevereiro de 1904</v>
      </c>
      <c r="F63" s="6">
        <f>IF('Dados a Colocar'!$G$20="sim",'Conta-Corrente'!XFD63,'Conta-Corrente'!XFD62)</f>
        <v>0</v>
      </c>
      <c r="G63" s="132"/>
      <c r="H63" s="138"/>
      <c r="I63" s="133"/>
      <c r="J63" s="129">
        <f t="shared" si="1"/>
        <v>0</v>
      </c>
      <c r="K63" s="129">
        <f t="shared" si="2"/>
        <v>0</v>
      </c>
      <c r="L63" s="4">
        <f>YEAR(H63)</f>
        <v>1900</v>
      </c>
      <c r="XFB63" s="85" t="s">
        <v>153</v>
      </c>
      <c r="XFC63" s="85" t="str">
        <f>IFERROR(VLOOKUP(MONTH(C63)+1,Recibo!$IW$11:$IX$22,2,FALSE)&amp;" de "&amp;YEAR(C63),VLOOKUP(MONTH(C63)-11,Recibo!$IW$11:$IX$22,2,FALSE)&amp;" de "&amp;(YEAR(C63)+1))</f>
        <v>Março de 1904</v>
      </c>
      <c r="XFD63" s="91">
        <f>ROUND('Dados a Colocar'!$F$16+'Dados a Colocar'!$F$16*('Dados a Colocar'!$J$22+'Dados a Colocar'!$K$22+'Dados a Colocar'!$L$22+'Dados a Colocar'!$M$22),2)</f>
        <v>0</v>
      </c>
    </row>
    <row r="64" spans="1:12 16382:16384" x14ac:dyDescent="0.25">
      <c r="A64" s="4">
        <f t="shared" si="4"/>
        <v>1904</v>
      </c>
      <c r="B64" s="7" t="str">
        <f>"052/"&amp;YEAR(C64)</f>
        <v>052/1904</v>
      </c>
      <c r="C64" s="10">
        <f t="shared" si="3"/>
        <v>1549</v>
      </c>
      <c r="D64" s="7" t="str">
        <f>IF('Dados a Colocar'!$G$20="sim",'Conta-Corrente'!XFB64,'Conta-Corrente'!XFB63)</f>
        <v>52.º mês de renda</v>
      </c>
      <c r="E64" s="7" t="str">
        <f>IF('Dados a Colocar'!$G$20="sim",'Conta-Corrente'!XFC64,'Conta-Corrente'!XFC63)</f>
        <v>Março de 1904</v>
      </c>
      <c r="F64" s="8">
        <f>IF('Dados a Colocar'!$G$20="sim",'Conta-Corrente'!XFD64,'Conta-Corrente'!XFD63)</f>
        <v>0</v>
      </c>
      <c r="G64" s="81"/>
      <c r="H64" s="137"/>
      <c r="I64" s="82"/>
      <c r="J64" s="129">
        <f t="shared" si="1"/>
        <v>0</v>
      </c>
      <c r="K64" s="129">
        <f t="shared" si="2"/>
        <v>0</v>
      </c>
      <c r="L64" s="4">
        <f>YEAR(H64)</f>
        <v>1900</v>
      </c>
      <c r="XFB64" s="7" t="s">
        <v>154</v>
      </c>
      <c r="XFC64" s="7" t="str">
        <f>IFERROR(VLOOKUP(MONTH(C64)+1,Recibo!$IW$11:$IX$22,2,FALSE)&amp;" de "&amp;YEAR(C64),VLOOKUP(MONTH(C64)-11,Recibo!$IW$11:$IX$22,2,FALSE)&amp;" de "&amp;(YEAR(C64)+1))</f>
        <v>Abril de 1904</v>
      </c>
      <c r="XFD64" s="91">
        <f>ROUND('Dados a Colocar'!$F$16+'Dados a Colocar'!$F$16*('Dados a Colocar'!$J$22+'Dados a Colocar'!$K$22+'Dados a Colocar'!$L$22+'Dados a Colocar'!$M$22),2)</f>
        <v>0</v>
      </c>
    </row>
    <row r="65" spans="1:12 16382:16384" x14ac:dyDescent="0.25">
      <c r="A65" s="4">
        <f t="shared" si="4"/>
        <v>1904</v>
      </c>
      <c r="B65" s="9" t="str">
        <f>"053/"&amp;YEAR(C65)</f>
        <v>053/1904</v>
      </c>
      <c r="C65" s="11">
        <f t="shared" si="3"/>
        <v>1580</v>
      </c>
      <c r="D65" s="9" t="str">
        <f>IF('Dados a Colocar'!$G$20="sim",'Conta-Corrente'!XFB65,'Conta-Corrente'!XFB64)</f>
        <v>53.º mês de renda</v>
      </c>
      <c r="E65" s="9" t="str">
        <f>IF('Dados a Colocar'!$G$20="sim",'Conta-Corrente'!XFC65,'Conta-Corrente'!XFC64)</f>
        <v>Abril de 1904</v>
      </c>
      <c r="F65" s="6">
        <f>IF('Dados a Colocar'!$G$20="sim",'Conta-Corrente'!XFD65,'Conta-Corrente'!XFD64)</f>
        <v>0</v>
      </c>
      <c r="G65" s="132"/>
      <c r="H65" s="138"/>
      <c r="I65" s="133"/>
      <c r="J65" s="129">
        <f t="shared" si="1"/>
        <v>0</v>
      </c>
      <c r="K65" s="129">
        <f t="shared" si="2"/>
        <v>0</v>
      </c>
      <c r="L65" s="4">
        <f>YEAR(H65)</f>
        <v>1900</v>
      </c>
      <c r="XFB65" s="85" t="s">
        <v>155</v>
      </c>
      <c r="XFC65" s="85" t="str">
        <f>IFERROR(VLOOKUP(MONTH(C65)+1,Recibo!$IW$11:$IX$22,2,FALSE)&amp;" de "&amp;YEAR(C65),VLOOKUP(MONTH(C65)-11,Recibo!$IW$11:$IX$22,2,FALSE)&amp;" de "&amp;(YEAR(C65)+1))</f>
        <v>Maio de 1904</v>
      </c>
      <c r="XFD65" s="91">
        <f>ROUND('Dados a Colocar'!$F$16+'Dados a Colocar'!$F$16*('Dados a Colocar'!$J$22+'Dados a Colocar'!$K$22+'Dados a Colocar'!$L$22+'Dados a Colocar'!$M$22),2)</f>
        <v>0</v>
      </c>
    </row>
    <row r="66" spans="1:12 16382:16384" x14ac:dyDescent="0.25">
      <c r="A66" s="4">
        <f t="shared" si="4"/>
        <v>1904</v>
      </c>
      <c r="B66" s="7" t="str">
        <f>"054/"&amp;YEAR(C66)</f>
        <v>054/1904</v>
      </c>
      <c r="C66" s="10">
        <f t="shared" si="3"/>
        <v>1610</v>
      </c>
      <c r="D66" s="7" t="str">
        <f>IF('Dados a Colocar'!$G$20="sim",'Conta-Corrente'!XFB66,'Conta-Corrente'!XFB65)</f>
        <v>54.º mês de renda</v>
      </c>
      <c r="E66" s="7" t="str">
        <f>IF('Dados a Colocar'!$G$20="sim",'Conta-Corrente'!XFC66,'Conta-Corrente'!XFC65)</f>
        <v>Maio de 1904</v>
      </c>
      <c r="F66" s="8">
        <f>IF('Dados a Colocar'!$G$20="sim",'Conta-Corrente'!XFD66,'Conta-Corrente'!XFD65)</f>
        <v>0</v>
      </c>
      <c r="G66" s="81"/>
      <c r="H66" s="137"/>
      <c r="I66" s="82"/>
      <c r="J66" s="129">
        <f t="shared" si="1"/>
        <v>0</v>
      </c>
      <c r="K66" s="129">
        <f t="shared" si="2"/>
        <v>0</v>
      </c>
      <c r="L66" s="4">
        <f>YEAR(H66)</f>
        <v>1900</v>
      </c>
      <c r="XFB66" s="7" t="s">
        <v>156</v>
      </c>
      <c r="XFC66" s="7" t="str">
        <f>IFERROR(VLOOKUP(MONTH(C66)+1,Recibo!$IW$11:$IX$22,2,FALSE)&amp;" de "&amp;YEAR(C66),VLOOKUP(MONTH(C66)-11,Recibo!$IW$11:$IX$22,2,FALSE)&amp;" de "&amp;(YEAR(C66)+1))</f>
        <v>Junho de 1904</v>
      </c>
      <c r="XFD66" s="91">
        <f>ROUND('Dados a Colocar'!$F$16+'Dados a Colocar'!$F$16*('Dados a Colocar'!$J$22+'Dados a Colocar'!$K$22+'Dados a Colocar'!$L$22+'Dados a Colocar'!$M$22),2)</f>
        <v>0</v>
      </c>
    </row>
    <row r="67" spans="1:12 16382:16384" x14ac:dyDescent="0.25">
      <c r="A67" s="4">
        <f t="shared" si="4"/>
        <v>1904</v>
      </c>
      <c r="B67" s="9" t="str">
        <f>"055/"&amp;YEAR(C67)</f>
        <v>055/1904</v>
      </c>
      <c r="C67" s="11">
        <f t="shared" si="3"/>
        <v>1641</v>
      </c>
      <c r="D67" s="9" t="str">
        <f>IF('Dados a Colocar'!$G$20="sim",'Conta-Corrente'!XFB67,'Conta-Corrente'!XFB66)</f>
        <v>55.º mês de renda</v>
      </c>
      <c r="E67" s="9" t="str">
        <f>IF('Dados a Colocar'!$G$20="sim",'Conta-Corrente'!XFC67,'Conta-Corrente'!XFC66)</f>
        <v>Junho de 1904</v>
      </c>
      <c r="F67" s="6">
        <f>IF('Dados a Colocar'!$G$20="sim",'Conta-Corrente'!XFD67,'Conta-Corrente'!XFD66)</f>
        <v>0</v>
      </c>
      <c r="G67" s="132"/>
      <c r="H67" s="138"/>
      <c r="I67" s="133"/>
      <c r="J67" s="129">
        <f t="shared" si="1"/>
        <v>0</v>
      </c>
      <c r="K67" s="129">
        <f t="shared" si="2"/>
        <v>0</v>
      </c>
      <c r="L67" s="4">
        <f>YEAR(H67)</f>
        <v>1900</v>
      </c>
      <c r="XFB67" s="85" t="s">
        <v>157</v>
      </c>
      <c r="XFC67" s="85" t="str">
        <f>IFERROR(VLOOKUP(MONTH(C67)+1,Recibo!$IW$11:$IX$22,2,FALSE)&amp;" de "&amp;YEAR(C67),VLOOKUP(MONTH(C67)-11,Recibo!$IW$11:$IX$22,2,FALSE)&amp;" de "&amp;(YEAR(C67)+1))</f>
        <v>Julho de 1904</v>
      </c>
      <c r="XFD67" s="91">
        <f>ROUND('Dados a Colocar'!$F$16+'Dados a Colocar'!$F$16*('Dados a Colocar'!$J$22+'Dados a Colocar'!$K$22+'Dados a Colocar'!$L$22+'Dados a Colocar'!$M$22),2)</f>
        <v>0</v>
      </c>
    </row>
    <row r="68" spans="1:12 16382:16384" x14ac:dyDescent="0.25">
      <c r="A68" s="4">
        <f t="shared" si="4"/>
        <v>1904</v>
      </c>
      <c r="B68" s="7" t="str">
        <f>"056/"&amp;YEAR(C68)</f>
        <v>056/1904</v>
      </c>
      <c r="C68" s="10">
        <f t="shared" si="3"/>
        <v>1671</v>
      </c>
      <c r="D68" s="7" t="str">
        <f>IF('Dados a Colocar'!$G$20="sim",'Conta-Corrente'!XFB68,'Conta-Corrente'!XFB67)</f>
        <v>56.º mês de renda</v>
      </c>
      <c r="E68" s="7" t="str">
        <f>IF('Dados a Colocar'!$G$20="sim",'Conta-Corrente'!XFC68,'Conta-Corrente'!XFC67)</f>
        <v>Julho de 1904</v>
      </c>
      <c r="F68" s="8">
        <f>IF('Dados a Colocar'!$G$20="sim",'Conta-Corrente'!XFD68,'Conta-Corrente'!XFD67)</f>
        <v>0</v>
      </c>
      <c r="G68" s="81"/>
      <c r="H68" s="137"/>
      <c r="I68" s="82"/>
      <c r="J68" s="129">
        <f t="shared" si="1"/>
        <v>0</v>
      </c>
      <c r="K68" s="129">
        <f t="shared" si="2"/>
        <v>0</v>
      </c>
      <c r="L68" s="4">
        <f>YEAR(H68)</f>
        <v>1900</v>
      </c>
      <c r="XFB68" s="7" t="s">
        <v>158</v>
      </c>
      <c r="XFC68" s="7" t="str">
        <f>IFERROR(VLOOKUP(MONTH(C68)+1,Recibo!$IW$11:$IX$22,2,FALSE)&amp;" de "&amp;YEAR(C68),VLOOKUP(MONTH(C68)-11,Recibo!$IW$11:$IX$22,2,FALSE)&amp;" de "&amp;(YEAR(C68)+1))</f>
        <v>Agosto de 1904</v>
      </c>
      <c r="XFD68" s="91">
        <f>ROUND('Dados a Colocar'!$F$16+'Dados a Colocar'!$F$16*('Dados a Colocar'!$J$22+'Dados a Colocar'!$K$22+'Dados a Colocar'!$L$22+'Dados a Colocar'!$M$22),2)</f>
        <v>0</v>
      </c>
    </row>
    <row r="69" spans="1:12 16382:16384" x14ac:dyDescent="0.25">
      <c r="A69" s="4">
        <f t="shared" si="4"/>
        <v>1904</v>
      </c>
      <c r="B69" s="9" t="str">
        <f>"057/"&amp;YEAR(C69)</f>
        <v>057/1904</v>
      </c>
      <c r="C69" s="11">
        <f t="shared" si="3"/>
        <v>1702</v>
      </c>
      <c r="D69" s="9" t="str">
        <f>IF('Dados a Colocar'!$G$20="sim",'Conta-Corrente'!XFB69,'Conta-Corrente'!XFB68)</f>
        <v>57.º mês de renda</v>
      </c>
      <c r="E69" s="9" t="str">
        <f>IF('Dados a Colocar'!$G$20="sim",'Conta-Corrente'!XFC69,'Conta-Corrente'!XFC68)</f>
        <v>Agosto de 1904</v>
      </c>
      <c r="F69" s="6">
        <f>IF('Dados a Colocar'!$G$20="sim",'Conta-Corrente'!XFD69,'Conta-Corrente'!XFD68)</f>
        <v>0</v>
      </c>
      <c r="G69" s="132"/>
      <c r="H69" s="138"/>
      <c r="I69" s="133"/>
      <c r="J69" s="129">
        <f t="shared" si="1"/>
        <v>0</v>
      </c>
      <c r="K69" s="129">
        <f t="shared" si="2"/>
        <v>0</v>
      </c>
      <c r="L69" s="4">
        <f>YEAR(H69)</f>
        <v>1900</v>
      </c>
      <c r="XFB69" s="85" t="s">
        <v>159</v>
      </c>
      <c r="XFC69" s="85" t="str">
        <f>IFERROR(VLOOKUP(MONTH(C69)+1,Recibo!$IW$11:$IX$22,2,FALSE)&amp;" de "&amp;YEAR(C69),VLOOKUP(MONTH(C69)-11,Recibo!$IW$11:$IX$22,2,FALSE)&amp;" de "&amp;(YEAR(C69)+1))</f>
        <v>Setembro de 1904</v>
      </c>
      <c r="XFD69" s="91">
        <f>ROUND('Dados a Colocar'!$F$16+'Dados a Colocar'!$F$16*('Dados a Colocar'!$J$22+'Dados a Colocar'!$K$22+'Dados a Colocar'!$L$22+'Dados a Colocar'!$M$22),2)</f>
        <v>0</v>
      </c>
    </row>
    <row r="70" spans="1:12 16382:16384" x14ac:dyDescent="0.25">
      <c r="A70" s="4">
        <f t="shared" si="4"/>
        <v>1904</v>
      </c>
      <c r="B70" s="7" t="str">
        <f>"058/"&amp;YEAR(C70)</f>
        <v>058/1904</v>
      </c>
      <c r="C70" s="10">
        <f t="shared" si="3"/>
        <v>1733</v>
      </c>
      <c r="D70" s="7" t="str">
        <f>IF('Dados a Colocar'!$G$20="sim",'Conta-Corrente'!XFB70,'Conta-Corrente'!XFB69)</f>
        <v>58.º mês de renda</v>
      </c>
      <c r="E70" s="7" t="str">
        <f>IF('Dados a Colocar'!$G$20="sim",'Conta-Corrente'!XFC70,'Conta-Corrente'!XFC69)</f>
        <v>Setembro de 1904</v>
      </c>
      <c r="F70" s="8">
        <f>IF('Dados a Colocar'!$G$20="sim",'Conta-Corrente'!XFD70,'Conta-Corrente'!XFD69)</f>
        <v>0</v>
      </c>
      <c r="G70" s="81"/>
      <c r="H70" s="137"/>
      <c r="I70" s="82"/>
      <c r="J70" s="129">
        <f t="shared" si="1"/>
        <v>0</v>
      </c>
      <c r="K70" s="129">
        <f t="shared" si="2"/>
        <v>0</v>
      </c>
      <c r="L70" s="4">
        <f>YEAR(H70)</f>
        <v>1900</v>
      </c>
      <c r="XFB70" s="7" t="s">
        <v>160</v>
      </c>
      <c r="XFC70" s="7" t="str">
        <f>IFERROR(VLOOKUP(MONTH(C70)+1,Recibo!$IW$11:$IX$22,2,FALSE)&amp;" de "&amp;YEAR(C70),VLOOKUP(MONTH(C70)-11,Recibo!$IW$11:$IX$22,2,FALSE)&amp;" de "&amp;(YEAR(C70)+1))</f>
        <v>Outubro de 1904</v>
      </c>
      <c r="XFD70" s="91">
        <f>ROUND('Dados a Colocar'!$F$16+'Dados a Colocar'!$F$16*('Dados a Colocar'!$J$22+'Dados a Colocar'!$K$22+'Dados a Colocar'!$L$22+'Dados a Colocar'!$M$22),2)</f>
        <v>0</v>
      </c>
    </row>
    <row r="71" spans="1:12 16382:16384" x14ac:dyDescent="0.25">
      <c r="A71" s="4">
        <f t="shared" si="4"/>
        <v>1904</v>
      </c>
      <c r="B71" s="9" t="str">
        <f>"059/"&amp;YEAR(C71)</f>
        <v>059/1904</v>
      </c>
      <c r="C71" s="11">
        <f t="shared" si="3"/>
        <v>1763</v>
      </c>
      <c r="D71" s="9" t="str">
        <f>IF('Dados a Colocar'!$G$20="sim",'Conta-Corrente'!XFB71,'Conta-Corrente'!XFB70)</f>
        <v>59.º mês de renda</v>
      </c>
      <c r="E71" s="9" t="str">
        <f>IF('Dados a Colocar'!$G$20="sim",'Conta-Corrente'!XFC71,'Conta-Corrente'!XFC70)</f>
        <v>Outubro de 1904</v>
      </c>
      <c r="F71" s="6">
        <f>IF('Dados a Colocar'!$G$20="sim",'Conta-Corrente'!XFD71,'Conta-Corrente'!XFD70)</f>
        <v>0</v>
      </c>
      <c r="G71" s="132"/>
      <c r="H71" s="138"/>
      <c r="I71" s="133"/>
      <c r="J71" s="129">
        <f t="shared" si="1"/>
        <v>0</v>
      </c>
      <c r="K71" s="129">
        <f t="shared" si="2"/>
        <v>0</v>
      </c>
      <c r="L71" s="4">
        <f>YEAR(H71)</f>
        <v>1900</v>
      </c>
      <c r="XFB71" s="85" t="s">
        <v>161</v>
      </c>
      <c r="XFC71" s="85" t="str">
        <f>IFERROR(VLOOKUP(MONTH(C71)+1,Recibo!$IW$11:$IX$22,2,FALSE)&amp;" de "&amp;YEAR(C71),VLOOKUP(MONTH(C71)-11,Recibo!$IW$11:$IX$22,2,FALSE)&amp;" de "&amp;(YEAR(C71)+1))</f>
        <v>Novembro de 1904</v>
      </c>
      <c r="XFD71" s="91">
        <f>ROUND('Dados a Colocar'!$F$16+'Dados a Colocar'!$F$16*('Dados a Colocar'!$J$22+'Dados a Colocar'!$K$22+'Dados a Colocar'!$L$22+'Dados a Colocar'!$M$22),2)</f>
        <v>0</v>
      </c>
    </row>
    <row r="72" spans="1:12 16382:16384" x14ac:dyDescent="0.25">
      <c r="A72" s="4">
        <f t="shared" si="4"/>
        <v>1904</v>
      </c>
      <c r="B72" s="7" t="str">
        <f>"060/"&amp;YEAR(C72)</f>
        <v>060/1904</v>
      </c>
      <c r="C72" s="10">
        <f t="shared" si="3"/>
        <v>1794</v>
      </c>
      <c r="D72" s="7" t="str">
        <f>IF('Dados a Colocar'!$G$20="sim",'Conta-Corrente'!XFB72,'Conta-Corrente'!XFB71)</f>
        <v>60.º mês de renda</v>
      </c>
      <c r="E72" s="7" t="str">
        <f>IF('Dados a Colocar'!$G$20="sim",'Conta-Corrente'!XFC72,'Conta-Corrente'!XFC71)</f>
        <v>Novembro de 1904</v>
      </c>
      <c r="F72" s="8">
        <f>IF('Dados a Colocar'!$G$20="sim",'Conta-Corrente'!XFD72,'Conta-Corrente'!XFD71)</f>
        <v>0</v>
      </c>
      <c r="G72" s="81"/>
      <c r="H72" s="137"/>
      <c r="I72" s="82"/>
      <c r="J72" s="129">
        <f t="shared" si="1"/>
        <v>0</v>
      </c>
      <c r="K72" s="129">
        <f t="shared" si="2"/>
        <v>0</v>
      </c>
      <c r="L72" s="4">
        <f>YEAR(H72)</f>
        <v>1900</v>
      </c>
      <c r="XFB72" s="7" t="s">
        <v>162</v>
      </c>
      <c r="XFC72" s="7" t="str">
        <f>IFERROR(VLOOKUP(MONTH(C72)+1,Recibo!$IW$11:$IX$22,2,FALSE)&amp;" de "&amp;YEAR(C72),VLOOKUP(MONTH(C72)-11,Recibo!$IW$11:$IX$22,2,FALSE)&amp;" de "&amp;(YEAR(C72)+1))</f>
        <v>Dezembro de 1904</v>
      </c>
      <c r="XFD72" s="91">
        <f>ROUND('Dados a Colocar'!$F$16+'Dados a Colocar'!$F$16*('Dados a Colocar'!$J$22+'Dados a Colocar'!$K$22+'Dados a Colocar'!$L$22+'Dados a Colocar'!$M$22+'Dados a Colocar'!$N$22),2)</f>
        <v>0</v>
      </c>
    </row>
    <row r="73" spans="1:12 16382:16384" x14ac:dyDescent="0.25">
      <c r="A73" s="4">
        <f t="shared" si="4"/>
        <v>1904</v>
      </c>
      <c r="B73" s="9" t="str">
        <f>"061/"&amp;YEAR(C73)</f>
        <v>061/1904</v>
      </c>
      <c r="C73" s="11">
        <f t="shared" si="3"/>
        <v>1824</v>
      </c>
      <c r="D73" s="9" t="str">
        <f>IF('Dados a Colocar'!$G$20="sim",'Conta-Corrente'!XFB73,'Conta-Corrente'!XFB72)</f>
        <v>61.º mês de renda</v>
      </c>
      <c r="E73" s="9" t="str">
        <f>IF('Dados a Colocar'!$G$20="sim",'Conta-Corrente'!XFC73,'Conta-Corrente'!XFC72)</f>
        <v>Dezembro de 1904</v>
      </c>
      <c r="F73" s="6">
        <f>IF('Dados a Colocar'!$G$20="sim",'Conta-Corrente'!XFD73,'Conta-Corrente'!XFD72)</f>
        <v>0</v>
      </c>
      <c r="G73" s="132"/>
      <c r="H73" s="138"/>
      <c r="I73" s="133"/>
      <c r="J73" s="129">
        <f t="shared" si="1"/>
        <v>0</v>
      </c>
      <c r="K73" s="129">
        <f t="shared" si="2"/>
        <v>0</v>
      </c>
      <c r="L73" s="4">
        <f>YEAR(H73)</f>
        <v>1900</v>
      </c>
      <c r="XFB73" s="85" t="s">
        <v>163</v>
      </c>
      <c r="XFC73" s="85" t="str">
        <f>IFERROR(VLOOKUP(MONTH(C73)+1,Recibo!$IW$11:$IX$22,2,FALSE)&amp;" de "&amp;YEAR(C73),VLOOKUP(MONTH(C73)-11,Recibo!$IW$11:$IX$22,2,FALSE)&amp;" de "&amp;(YEAR(C73)+1))</f>
        <v>Janeiro de 1905</v>
      </c>
      <c r="XFD73" s="91">
        <f>ROUND('Dados a Colocar'!$F$16+'Dados a Colocar'!$F$16*('Dados a Colocar'!$J$22+'Dados a Colocar'!$K$22+'Dados a Colocar'!$L$22+'Dados a Colocar'!$M$22+'Dados a Colocar'!$N$22),2)</f>
        <v>0</v>
      </c>
    </row>
    <row r="74" spans="1:12 16382:16384" x14ac:dyDescent="0.25">
      <c r="A74" s="4">
        <f t="shared" si="4"/>
        <v>1905</v>
      </c>
      <c r="B74" s="7" t="str">
        <f>"062/"&amp;YEAR(C74)</f>
        <v>062/1905</v>
      </c>
      <c r="C74" s="10">
        <f t="shared" si="3"/>
        <v>1855</v>
      </c>
      <c r="D74" s="7" t="str">
        <f>IF('Dados a Colocar'!$G$20="sim",'Conta-Corrente'!XFB74,'Conta-Corrente'!XFB73)</f>
        <v>62.º mês de renda</v>
      </c>
      <c r="E74" s="7" t="str">
        <f>IF('Dados a Colocar'!$G$20="sim",'Conta-Corrente'!XFC74,'Conta-Corrente'!XFC73)</f>
        <v>Janeiro de 1905</v>
      </c>
      <c r="F74" s="8">
        <f>IF('Dados a Colocar'!$G$20="sim",'Conta-Corrente'!XFD74,'Conta-Corrente'!XFD73)</f>
        <v>0</v>
      </c>
      <c r="G74" s="81"/>
      <c r="H74" s="137"/>
      <c r="I74" s="82"/>
      <c r="J74" s="129">
        <f t="shared" si="1"/>
        <v>0</v>
      </c>
      <c r="K74" s="129">
        <f t="shared" si="2"/>
        <v>0</v>
      </c>
      <c r="L74" s="4">
        <f>YEAR(H74)</f>
        <v>1900</v>
      </c>
      <c r="XFB74" s="7" t="s">
        <v>164</v>
      </c>
      <c r="XFC74" s="7" t="str">
        <f>IFERROR(VLOOKUP(MONTH(C74)+1,Recibo!$IW$11:$IX$22,2,FALSE)&amp;" de "&amp;YEAR(C74),VLOOKUP(MONTH(C74)-11,Recibo!$IW$11:$IX$22,2,FALSE)&amp;" de "&amp;(YEAR(C74)+1))</f>
        <v>Fevereiro de 1905</v>
      </c>
      <c r="XFD74" s="91">
        <f>ROUND('Dados a Colocar'!$F$16+'Dados a Colocar'!$F$16*('Dados a Colocar'!$J$22+'Dados a Colocar'!$K$22+'Dados a Colocar'!$L$22+'Dados a Colocar'!$M$22+'Dados a Colocar'!$N$22),2)</f>
        <v>0</v>
      </c>
    </row>
    <row r="75" spans="1:12 16382:16384" x14ac:dyDescent="0.25">
      <c r="A75" s="4">
        <f t="shared" si="4"/>
        <v>1905</v>
      </c>
      <c r="B75" s="9" t="str">
        <f>"063/"&amp;YEAR(C75)</f>
        <v>063/1905</v>
      </c>
      <c r="C75" s="11">
        <f t="shared" si="3"/>
        <v>1886</v>
      </c>
      <c r="D75" s="9" t="str">
        <f>IF('Dados a Colocar'!$G$20="sim",'Conta-Corrente'!XFB75,'Conta-Corrente'!XFB74)</f>
        <v>63.º mês de renda</v>
      </c>
      <c r="E75" s="9" t="str">
        <f>IF('Dados a Colocar'!$G$20="sim",'Conta-Corrente'!XFC75,'Conta-Corrente'!XFC74)</f>
        <v>Fevereiro de 1905</v>
      </c>
      <c r="F75" s="6">
        <f>IF('Dados a Colocar'!$G$20="sim",'Conta-Corrente'!XFD75,'Conta-Corrente'!XFD74)</f>
        <v>0</v>
      </c>
      <c r="G75" s="132"/>
      <c r="H75" s="138"/>
      <c r="I75" s="133"/>
      <c r="J75" s="129">
        <f t="shared" si="1"/>
        <v>0</v>
      </c>
      <c r="K75" s="129">
        <f t="shared" si="2"/>
        <v>0</v>
      </c>
      <c r="L75" s="4">
        <f>YEAR(H75)</f>
        <v>1900</v>
      </c>
      <c r="XFB75" s="85" t="s">
        <v>165</v>
      </c>
      <c r="XFC75" s="85" t="str">
        <f>IFERROR(VLOOKUP(MONTH(C75)+1,Recibo!$IW$11:$IX$22,2,FALSE)&amp;" de "&amp;YEAR(C75),VLOOKUP(MONTH(C75)-11,Recibo!$IW$11:$IX$22,2,FALSE)&amp;" de "&amp;(YEAR(C75)+1))</f>
        <v>Março de 1905</v>
      </c>
      <c r="XFD75" s="91">
        <f>ROUND('Dados a Colocar'!$F$16+'Dados a Colocar'!$F$16*('Dados a Colocar'!$J$22+'Dados a Colocar'!$K$22+'Dados a Colocar'!$L$22+'Dados a Colocar'!$M$22+'Dados a Colocar'!$N$22),2)</f>
        <v>0</v>
      </c>
    </row>
    <row r="76" spans="1:12 16382:16384" x14ac:dyDescent="0.25">
      <c r="A76" s="4">
        <f t="shared" si="4"/>
        <v>1905</v>
      </c>
      <c r="B76" s="7" t="str">
        <f>"064/"&amp;YEAR(C76)</f>
        <v>064/1905</v>
      </c>
      <c r="C76" s="10">
        <f t="shared" si="3"/>
        <v>1914</v>
      </c>
      <c r="D76" s="7" t="str">
        <f>IF('Dados a Colocar'!$G$20="sim",'Conta-Corrente'!XFB76,'Conta-Corrente'!XFB75)</f>
        <v>64.º mês de renda</v>
      </c>
      <c r="E76" s="7" t="str">
        <f>IF('Dados a Colocar'!$G$20="sim",'Conta-Corrente'!XFC76,'Conta-Corrente'!XFC75)</f>
        <v>Março de 1905</v>
      </c>
      <c r="F76" s="8">
        <f>IF('Dados a Colocar'!$G$20="sim",'Conta-Corrente'!XFD76,'Conta-Corrente'!XFD75)</f>
        <v>0</v>
      </c>
      <c r="G76" s="81"/>
      <c r="H76" s="137"/>
      <c r="I76" s="82"/>
      <c r="J76" s="129">
        <f t="shared" si="1"/>
        <v>0</v>
      </c>
      <c r="K76" s="129">
        <f t="shared" si="2"/>
        <v>0</v>
      </c>
      <c r="L76" s="4">
        <f>YEAR(H76)</f>
        <v>1900</v>
      </c>
      <c r="XFB76" s="7" t="s">
        <v>166</v>
      </c>
      <c r="XFC76" s="7" t="str">
        <f>IFERROR(VLOOKUP(MONTH(C76)+1,Recibo!$IW$11:$IX$22,2,FALSE)&amp;" de "&amp;YEAR(C76),VLOOKUP(MONTH(C76)-11,Recibo!$IW$11:$IX$22,2,FALSE)&amp;" de "&amp;(YEAR(C76)+1))</f>
        <v>Abril de 1905</v>
      </c>
      <c r="XFD76" s="91">
        <f>ROUND('Dados a Colocar'!$F$16+'Dados a Colocar'!$F$16*('Dados a Colocar'!$J$22+'Dados a Colocar'!$K$22+'Dados a Colocar'!$L$22+'Dados a Colocar'!$M$22+'Dados a Colocar'!$N$22),2)</f>
        <v>0</v>
      </c>
    </row>
    <row r="77" spans="1:12 16382:16384" x14ac:dyDescent="0.25">
      <c r="A77" s="4">
        <f t="shared" si="4"/>
        <v>1905</v>
      </c>
      <c r="B77" s="9" t="str">
        <f>"065/"&amp;YEAR(C77)</f>
        <v>065/1905</v>
      </c>
      <c r="C77" s="11">
        <f t="shared" si="3"/>
        <v>1945</v>
      </c>
      <c r="D77" s="9" t="str">
        <f>IF('Dados a Colocar'!$G$20="sim",'Conta-Corrente'!XFB77,'Conta-Corrente'!XFB76)</f>
        <v>65.º mês de renda</v>
      </c>
      <c r="E77" s="9" t="str">
        <f>IF('Dados a Colocar'!$G$20="sim",'Conta-Corrente'!XFC77,'Conta-Corrente'!XFC76)</f>
        <v>Abril de 1905</v>
      </c>
      <c r="F77" s="6">
        <f>IF('Dados a Colocar'!$G$20="sim",'Conta-Corrente'!XFD77,'Conta-Corrente'!XFD76)</f>
        <v>0</v>
      </c>
      <c r="G77" s="132"/>
      <c r="H77" s="138"/>
      <c r="I77" s="133"/>
      <c r="J77" s="129">
        <f t="shared" si="1"/>
        <v>0</v>
      </c>
      <c r="K77" s="129">
        <f t="shared" si="2"/>
        <v>0</v>
      </c>
      <c r="L77" s="4">
        <f>YEAR(H77)</f>
        <v>1900</v>
      </c>
      <c r="XFB77" s="85" t="s">
        <v>167</v>
      </c>
      <c r="XFC77" s="85" t="str">
        <f>IFERROR(VLOOKUP(MONTH(C77)+1,Recibo!$IW$11:$IX$22,2,FALSE)&amp;" de "&amp;YEAR(C77),VLOOKUP(MONTH(C77)-11,Recibo!$IW$11:$IX$22,2,FALSE)&amp;" de "&amp;(YEAR(C77)+1))</f>
        <v>Maio de 1905</v>
      </c>
      <c r="XFD77" s="91">
        <f>ROUND('Dados a Colocar'!$F$16+'Dados a Colocar'!$F$16*('Dados a Colocar'!$J$22+'Dados a Colocar'!$K$22+'Dados a Colocar'!$L$22+'Dados a Colocar'!$M$22+'Dados a Colocar'!$N$22),2)</f>
        <v>0</v>
      </c>
    </row>
    <row r="78" spans="1:12 16382:16384" x14ac:dyDescent="0.25">
      <c r="A78" s="4">
        <f t="shared" si="4"/>
        <v>1905</v>
      </c>
      <c r="B78" s="7" t="str">
        <f>"066/"&amp;YEAR(C78)</f>
        <v>066/1905</v>
      </c>
      <c r="C78" s="10">
        <f t="shared" si="3"/>
        <v>1975</v>
      </c>
      <c r="D78" s="7" t="str">
        <f>IF('Dados a Colocar'!$G$20="sim",'Conta-Corrente'!XFB78,'Conta-Corrente'!XFB77)</f>
        <v>66.º mês de renda</v>
      </c>
      <c r="E78" s="7" t="str">
        <f>IF('Dados a Colocar'!$G$20="sim",'Conta-Corrente'!XFC78,'Conta-Corrente'!XFC77)</f>
        <v>Maio de 1905</v>
      </c>
      <c r="F78" s="8">
        <f>IF('Dados a Colocar'!$G$20="sim",'Conta-Corrente'!XFD78,'Conta-Corrente'!XFD77)</f>
        <v>0</v>
      </c>
      <c r="G78" s="81"/>
      <c r="H78" s="137"/>
      <c r="I78" s="82"/>
      <c r="J78" s="129">
        <f t="shared" si="1"/>
        <v>0</v>
      </c>
      <c r="K78" s="129">
        <f t="shared" si="2"/>
        <v>0</v>
      </c>
      <c r="L78" s="4">
        <f>YEAR(H78)</f>
        <v>1900</v>
      </c>
      <c r="XFB78" s="7" t="s">
        <v>168</v>
      </c>
      <c r="XFC78" s="7" t="str">
        <f>IFERROR(VLOOKUP(MONTH(C78)+1,Recibo!$IW$11:$IX$22,2,FALSE)&amp;" de "&amp;YEAR(C78),VLOOKUP(MONTH(C78)-11,Recibo!$IW$11:$IX$22,2,FALSE)&amp;" de "&amp;(YEAR(C78)+1))</f>
        <v>Junho de 1905</v>
      </c>
      <c r="XFD78" s="91">
        <f>ROUND('Dados a Colocar'!$F$16+'Dados a Colocar'!$F$16*('Dados a Colocar'!$J$22+'Dados a Colocar'!$K$22+'Dados a Colocar'!$L$22+'Dados a Colocar'!$M$22+'Dados a Colocar'!$N$22),2)</f>
        <v>0</v>
      </c>
    </row>
    <row r="79" spans="1:12 16382:16384" x14ac:dyDescent="0.25">
      <c r="A79" s="4">
        <f t="shared" si="4"/>
        <v>1905</v>
      </c>
      <c r="B79" s="9" t="str">
        <f>"067/"&amp;YEAR(C79)</f>
        <v>067/1905</v>
      </c>
      <c r="C79" s="11">
        <f t="shared" si="3"/>
        <v>2006</v>
      </c>
      <c r="D79" s="9" t="str">
        <f>IF('Dados a Colocar'!$G$20="sim",'Conta-Corrente'!XFB79,'Conta-Corrente'!XFB78)</f>
        <v>67.º mês de renda</v>
      </c>
      <c r="E79" s="9" t="str">
        <f>IF('Dados a Colocar'!$G$20="sim",'Conta-Corrente'!XFC79,'Conta-Corrente'!XFC78)</f>
        <v>Junho de 1905</v>
      </c>
      <c r="F79" s="6">
        <f>IF('Dados a Colocar'!$G$20="sim",'Conta-Corrente'!XFD79,'Conta-Corrente'!XFD78)</f>
        <v>0</v>
      </c>
      <c r="G79" s="132"/>
      <c r="H79" s="138"/>
      <c r="I79" s="133"/>
      <c r="J79" s="129">
        <f t="shared" ref="J79:J83" si="5">G79</f>
        <v>0</v>
      </c>
      <c r="K79" s="129">
        <f t="shared" ref="K79:K83" si="6">I79</f>
        <v>0</v>
      </c>
      <c r="L79" s="4">
        <f>YEAR(H79)</f>
        <v>1900</v>
      </c>
      <c r="XFB79" s="85" t="s">
        <v>169</v>
      </c>
      <c r="XFC79" s="85" t="str">
        <f>IFERROR(VLOOKUP(MONTH(C79)+1,Recibo!$IW$11:$IX$22,2,FALSE)&amp;" de "&amp;YEAR(C79),VLOOKUP(MONTH(C79)-11,Recibo!$IW$11:$IX$22,2,FALSE)&amp;" de "&amp;(YEAR(C79)+1))</f>
        <v>Julho de 1905</v>
      </c>
      <c r="XFD79" s="91">
        <f>ROUND('Dados a Colocar'!$F$16+'Dados a Colocar'!$F$16*('Dados a Colocar'!$J$22+'Dados a Colocar'!$K$22+'Dados a Colocar'!$L$22+'Dados a Colocar'!$M$22+'Dados a Colocar'!$N$22),2)</f>
        <v>0</v>
      </c>
    </row>
    <row r="80" spans="1:12 16382:16384" x14ac:dyDescent="0.25">
      <c r="A80" s="4">
        <f t="shared" ref="A80:A83" si="7">YEAR(C80)</f>
        <v>1905</v>
      </c>
      <c r="B80" s="7" t="str">
        <f>"068/"&amp;YEAR(C80)</f>
        <v>068/1905</v>
      </c>
      <c r="C80" s="10">
        <f t="shared" si="3"/>
        <v>2036</v>
      </c>
      <c r="D80" s="7" t="str">
        <f>IF('Dados a Colocar'!$G$20="sim",'Conta-Corrente'!XFB80,'Conta-Corrente'!XFB79)</f>
        <v>68.º mês de renda</v>
      </c>
      <c r="E80" s="7" t="str">
        <f>IF('Dados a Colocar'!$G$20="sim",'Conta-Corrente'!XFC80,'Conta-Corrente'!XFC79)</f>
        <v>Julho de 1905</v>
      </c>
      <c r="F80" s="8">
        <f>IF('Dados a Colocar'!$G$20="sim",'Conta-Corrente'!XFD80,'Conta-Corrente'!XFD79)</f>
        <v>0</v>
      </c>
      <c r="G80" s="81"/>
      <c r="H80" s="137"/>
      <c r="I80" s="82"/>
      <c r="J80" s="129">
        <f t="shared" si="5"/>
        <v>0</v>
      </c>
      <c r="K80" s="129">
        <f t="shared" si="6"/>
        <v>0</v>
      </c>
      <c r="L80" s="4">
        <f>YEAR(H80)</f>
        <v>1900</v>
      </c>
      <c r="XFB80" s="7" t="s">
        <v>170</v>
      </c>
      <c r="XFC80" s="7" t="str">
        <f>IFERROR(VLOOKUP(MONTH(C80)+1,Recibo!$IW$11:$IX$22,2,FALSE)&amp;" de "&amp;YEAR(C80),VLOOKUP(MONTH(C80)-11,Recibo!$IW$11:$IX$22,2,FALSE)&amp;" de "&amp;(YEAR(C80)+1))</f>
        <v>Agosto de 1905</v>
      </c>
      <c r="XFD80" s="91">
        <f>ROUND('Dados a Colocar'!$F$16+'Dados a Colocar'!$F$16*('Dados a Colocar'!$J$22+'Dados a Colocar'!$K$22+'Dados a Colocar'!$L$22+'Dados a Colocar'!$M$22+'Dados a Colocar'!$N$22),2)</f>
        <v>0</v>
      </c>
    </row>
    <row r="81" spans="1:12 16382:16384" x14ac:dyDescent="0.25">
      <c r="A81" s="4">
        <f t="shared" si="7"/>
        <v>1905</v>
      </c>
      <c r="B81" s="9" t="str">
        <f>"069/"&amp;YEAR(C81)</f>
        <v>069/1905</v>
      </c>
      <c r="C81" s="11">
        <f t="shared" ref="C81:C83" si="8">EDATE(C80,1)</f>
        <v>2067</v>
      </c>
      <c r="D81" s="9" t="str">
        <f>IF('Dados a Colocar'!$G$20="sim",'Conta-Corrente'!XFB81,'Conta-Corrente'!XFB80)</f>
        <v>69.º mês de renda</v>
      </c>
      <c r="E81" s="9" t="str">
        <f>IF('Dados a Colocar'!$G$20="sim",'Conta-Corrente'!XFC81,'Conta-Corrente'!XFC80)</f>
        <v>Agosto de 1905</v>
      </c>
      <c r="F81" s="6">
        <f>IF('Dados a Colocar'!$G$20="sim",'Conta-Corrente'!XFD81,'Conta-Corrente'!XFD80)</f>
        <v>0</v>
      </c>
      <c r="G81" s="132"/>
      <c r="H81" s="138"/>
      <c r="I81" s="133"/>
      <c r="J81" s="129">
        <f t="shared" si="5"/>
        <v>0</v>
      </c>
      <c r="K81" s="129">
        <f t="shared" si="6"/>
        <v>0</v>
      </c>
      <c r="L81" s="4">
        <f>YEAR(H81)</f>
        <v>1900</v>
      </c>
      <c r="XFB81" s="85" t="s">
        <v>171</v>
      </c>
      <c r="XFC81" s="85" t="str">
        <f>IFERROR(VLOOKUP(MONTH(C81)+1,Recibo!$IW$11:$IX$22,2,FALSE)&amp;" de "&amp;YEAR(C81),VLOOKUP(MONTH(C81)-11,Recibo!$IW$11:$IX$22,2,FALSE)&amp;" de "&amp;(YEAR(C81)+1))</f>
        <v>Setembro de 1905</v>
      </c>
      <c r="XFD81" s="91">
        <f>ROUND('Dados a Colocar'!$F$16+'Dados a Colocar'!$F$16*('Dados a Colocar'!$J$22+'Dados a Colocar'!$K$22+'Dados a Colocar'!$L$22+'Dados a Colocar'!$M$22+'Dados a Colocar'!$N$22),2)</f>
        <v>0</v>
      </c>
    </row>
    <row r="82" spans="1:12 16382:16384" x14ac:dyDescent="0.25">
      <c r="A82" s="4">
        <f t="shared" si="7"/>
        <v>1905</v>
      </c>
      <c r="B82" s="7" t="str">
        <f>"070/"&amp;YEAR(C82)</f>
        <v>070/1905</v>
      </c>
      <c r="C82" s="10">
        <f t="shared" si="8"/>
        <v>2098</v>
      </c>
      <c r="D82" s="7" t="str">
        <f>IF('Dados a Colocar'!$G$20="sim",'Conta-Corrente'!XFB82,'Conta-Corrente'!XFB81)</f>
        <v>70.º mês de renda</v>
      </c>
      <c r="E82" s="7" t="str">
        <f>IF('Dados a Colocar'!$G$20="sim",'Conta-Corrente'!XFC82,'Conta-Corrente'!XFC81)</f>
        <v>Setembro de 1905</v>
      </c>
      <c r="F82" s="8">
        <f>IF('Dados a Colocar'!$G$20="sim",'Conta-Corrente'!XFD82,'Conta-Corrente'!XFD81)</f>
        <v>0</v>
      </c>
      <c r="G82" s="81"/>
      <c r="H82" s="137"/>
      <c r="I82" s="82"/>
      <c r="J82" s="129">
        <f t="shared" si="5"/>
        <v>0</v>
      </c>
      <c r="K82" s="129">
        <f t="shared" si="6"/>
        <v>0</v>
      </c>
      <c r="L82" s="4">
        <f>YEAR(H82)</f>
        <v>1900</v>
      </c>
      <c r="XFB82" s="7" t="s">
        <v>172</v>
      </c>
      <c r="XFC82" s="7" t="str">
        <f>IFERROR(VLOOKUP(MONTH(C82)+1,Recibo!$IW$11:$IX$22,2,FALSE)&amp;" de "&amp;YEAR(C82),VLOOKUP(MONTH(C82)-11,Recibo!$IW$11:$IX$22,2,FALSE)&amp;" de "&amp;(YEAR(C82)+1))</f>
        <v>Outubro de 1905</v>
      </c>
      <c r="XFD82" s="91">
        <f>ROUND('Dados a Colocar'!$F$16+'Dados a Colocar'!$F$16*('Dados a Colocar'!$J$22+'Dados a Colocar'!$K$22+'Dados a Colocar'!$L$22+'Dados a Colocar'!$M$22+'Dados a Colocar'!$N$22),2)</f>
        <v>0</v>
      </c>
    </row>
    <row r="83" spans="1:12 16382:16384" ht="15.75" thickBot="1" x14ac:dyDescent="0.3">
      <c r="A83" s="4">
        <f t="shared" si="7"/>
        <v>1905</v>
      </c>
      <c r="B83" s="9" t="str">
        <f>"071/"&amp;YEAR(C83)</f>
        <v>071/1905</v>
      </c>
      <c r="C83" s="11">
        <f t="shared" si="8"/>
        <v>2128</v>
      </c>
      <c r="D83" s="9" t="str">
        <f>IF('Dados a Colocar'!$G$20="sim",'Conta-Corrente'!XFB83,'Conta-Corrente'!XFB82)</f>
        <v>71.º mês de renda</v>
      </c>
      <c r="E83" s="9" t="str">
        <f>IF('Dados a Colocar'!$G$20="sim",'Conta-Corrente'!XFC83,'Conta-Corrente'!XFC82)</f>
        <v>Outubro de 1905</v>
      </c>
      <c r="F83" s="6">
        <f>IF('Dados a Colocar'!$G$20="sim",'Conta-Corrente'!XFD83,'Conta-Corrente'!XFD82)</f>
        <v>0</v>
      </c>
      <c r="G83" s="132"/>
      <c r="H83" s="138"/>
      <c r="I83" s="133"/>
      <c r="J83" s="129">
        <f t="shared" si="5"/>
        <v>0</v>
      </c>
      <c r="K83" s="129">
        <f t="shared" si="6"/>
        <v>0</v>
      </c>
      <c r="L83" s="4">
        <f>YEAR(H83)</f>
        <v>1900</v>
      </c>
      <c r="XFB83" s="85" t="s">
        <v>173</v>
      </c>
      <c r="XFC83" s="85" t="str">
        <f>IFERROR(VLOOKUP(MONTH(C83)+1,Recibo!$IW$11:$IX$22,2,FALSE)&amp;" de "&amp;YEAR(C83),VLOOKUP(MONTH(C83)-11,Recibo!$IW$11:$IX$22,2,FALSE)&amp;" de "&amp;(YEAR(C83)+1))</f>
        <v>Novembro de 1905</v>
      </c>
      <c r="XFD83" s="91">
        <f>ROUND('Dados a Colocar'!$F$16+'Dados a Colocar'!$F$16*('Dados a Colocar'!$J$22+'Dados a Colocar'!$K$22+'Dados a Colocar'!$L$22+'Dados a Colocar'!$M$22+'Dados a Colocar'!$N$22),2)</f>
        <v>0</v>
      </c>
    </row>
    <row r="84" spans="1:12 16382:16384" ht="15.75" thickTop="1" x14ac:dyDescent="0.25">
      <c r="E84" s="12" t="s">
        <v>90</v>
      </c>
      <c r="F84" s="13">
        <f>SUBTOTAL(109,F11:F83)</f>
        <v>0</v>
      </c>
    </row>
    <row r="87" spans="1:12 16382:16384" ht="18.75" customHeight="1" x14ac:dyDescent="0.25"/>
  </sheetData>
  <sheetProtection password="A081" sheet="1" objects="1" scenarios="1" autoFilter="0"/>
  <autoFilter ref="B10:I10"/>
  <mergeCells count="9">
    <mergeCell ref="H11:H13"/>
    <mergeCell ref="I11:I13"/>
    <mergeCell ref="H4:I4"/>
    <mergeCell ref="F4:G4"/>
    <mergeCell ref="B11:B13"/>
    <mergeCell ref="C11:C13"/>
    <mergeCell ref="B6:E6"/>
    <mergeCell ref="B8:E8"/>
    <mergeCell ref="G11:G13"/>
  </mergeCells>
  <dataValidations count="3">
    <dataValidation type="list" allowBlank="1" showInputMessage="1" showErrorMessage="1" sqref="G14:G83 G11 I14:I83 I11">
      <formula1>"Sim, Não"</formula1>
    </dataValidation>
    <dataValidation allowBlank="1" showInputMessage="1" showErrorMessage="1" promptTitle="Informação" prompt="Se alterar o ano, dará o valor total de recibos emitidos, e rendas pagas, referente a esse ano." sqref="C4"/>
    <dataValidation type="date" allowBlank="1" showInputMessage="1" showErrorMessage="1" sqref="H11:H83">
      <formula1>1</formula1>
      <formula2>401768</formula2>
    </dataValidation>
  </dataValidations>
  <hyperlinks>
    <hyperlink ref="K2" r:id="rId1"/>
  </hyperlinks>
  <pageMargins left="0.23622047244094491" right="0.19685039370078741" top="0.49" bottom="0.52" header="0.4" footer="0.19685039370078741"/>
  <pageSetup paperSize="9" scale="91" fitToHeight="2" orientation="portrait" r:id="rId2"/>
  <headerFooter>
    <oddFooter>&amp;L&amp;D&amp;RPág. &amp;P de &amp;N</oddFooter>
  </headerFooter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5">
    <pageSetUpPr fitToPage="1"/>
  </sheetPr>
  <dimension ref="C1:M49"/>
  <sheetViews>
    <sheetView showGridLines="0" zoomScale="90" zoomScaleNormal="90" workbookViewId="0">
      <selection activeCell="L22" sqref="L22"/>
    </sheetView>
  </sheetViews>
  <sheetFormatPr defaultRowHeight="15" x14ac:dyDescent="0.25"/>
  <cols>
    <col min="1" max="1" width="9.140625" style="51"/>
    <col min="2" max="2" width="5" style="51" customWidth="1"/>
    <col min="3" max="3" width="19.85546875" style="51" customWidth="1"/>
    <col min="4" max="6" width="10" style="51" customWidth="1"/>
    <col min="7" max="7" width="6.85546875" style="51" customWidth="1"/>
    <col min="8" max="8" width="12" style="51" bestFit="1" customWidth="1"/>
    <col min="9" max="10" width="10" style="51" customWidth="1"/>
    <col min="11" max="16384" width="9.140625" style="51"/>
  </cols>
  <sheetData>
    <row r="1" spans="3:13" x14ac:dyDescent="0.25">
      <c r="M1" s="78" t="s">
        <v>103</v>
      </c>
    </row>
    <row r="2" spans="3:13" ht="26.25" x14ac:dyDescent="0.4">
      <c r="C2" s="202" t="s">
        <v>64</v>
      </c>
      <c r="D2" s="202"/>
      <c r="E2" s="202"/>
      <c r="F2" s="202"/>
      <c r="G2" s="202"/>
      <c r="H2" s="202"/>
      <c r="I2" s="202"/>
      <c r="J2" s="202"/>
      <c r="M2" s="101" t="s">
        <v>184</v>
      </c>
    </row>
    <row r="3" spans="3:13" ht="18.75" x14ac:dyDescent="0.3">
      <c r="C3" s="203" t="s">
        <v>178</v>
      </c>
      <c r="D3" s="203"/>
      <c r="E3" s="203"/>
      <c r="F3" s="203"/>
      <c r="G3" s="203"/>
      <c r="H3" s="203"/>
      <c r="I3" s="203"/>
      <c r="J3" s="203"/>
    </row>
    <row r="4" spans="3:13" x14ac:dyDescent="0.25">
      <c r="C4" s="204" t="s">
        <v>101</v>
      </c>
      <c r="D4" s="204"/>
      <c r="E4" s="204"/>
      <c r="F4" s="204"/>
      <c r="G4" s="204"/>
      <c r="H4" s="204"/>
      <c r="I4" s="204"/>
      <c r="J4" s="204"/>
    </row>
    <row r="7" spans="3:13" ht="20.25" thickBot="1" x14ac:dyDescent="0.35">
      <c r="C7" s="142" t="s">
        <v>65</v>
      </c>
      <c r="D7" s="142"/>
      <c r="E7" s="142"/>
      <c r="F7" s="142"/>
      <c r="G7" s="142"/>
      <c r="H7" s="142"/>
      <c r="I7" s="142"/>
      <c r="J7" s="142"/>
    </row>
    <row r="8" spans="3:13" ht="15.75" thickTop="1" x14ac:dyDescent="0.25"/>
    <row r="9" spans="3:13" ht="18.75" x14ac:dyDescent="0.3">
      <c r="C9" s="69" t="s">
        <v>100</v>
      </c>
      <c r="D9" s="70">
        <f>'Conta-Corrente'!C4</f>
        <v>2010</v>
      </c>
    </row>
    <row r="10" spans="3:13" ht="18.75" x14ac:dyDescent="0.3">
      <c r="C10" s="69"/>
      <c r="D10" s="70"/>
    </row>
    <row r="12" spans="3:13" ht="20.25" thickBot="1" x14ac:dyDescent="0.35">
      <c r="C12" s="142" t="s">
        <v>66</v>
      </c>
      <c r="D12" s="142"/>
      <c r="E12" s="142"/>
      <c r="F12" s="142"/>
      <c r="G12" s="142"/>
      <c r="H12" s="142"/>
      <c r="I12" s="142"/>
      <c r="J12" s="142"/>
    </row>
    <row r="13" spans="3:13" ht="15.75" thickTop="1" x14ac:dyDescent="0.25"/>
    <row r="14" spans="3:13" ht="17.25" x14ac:dyDescent="0.3">
      <c r="C14" s="69" t="s">
        <v>6</v>
      </c>
      <c r="D14" s="200" t="str">
        <f>IF('Dados a Colocar'!D56="","",'Dados a Colocar'!D56)</f>
        <v/>
      </c>
      <c r="E14" s="200"/>
      <c r="F14" s="200"/>
      <c r="G14" s="200"/>
      <c r="H14" s="200"/>
      <c r="I14" s="200"/>
      <c r="J14" s="200"/>
    </row>
    <row r="15" spans="3:13" ht="17.25" x14ac:dyDescent="0.3">
      <c r="C15" s="69" t="s">
        <v>9</v>
      </c>
      <c r="D15" s="200" t="str">
        <f>IF('Dados a Colocar'!D58="","",'Dados a Colocar'!D58)</f>
        <v/>
      </c>
      <c r="E15" s="200"/>
      <c r="F15" s="200"/>
      <c r="G15" s="200"/>
      <c r="H15" s="200"/>
      <c r="I15" s="200"/>
      <c r="J15" s="200"/>
    </row>
    <row r="16" spans="3:13" ht="17.25" x14ac:dyDescent="0.3">
      <c r="C16" s="69" t="s">
        <v>12</v>
      </c>
      <c r="D16" s="71" t="str">
        <f>IF('Dados a Colocar'!F62="","",'Dados a Colocar'!F62)</f>
        <v/>
      </c>
      <c r="E16" s="200" t="str">
        <f>IF('Dados a Colocar'!E60="","",'Dados a Colocar'!E60)</f>
        <v/>
      </c>
      <c r="F16" s="200"/>
      <c r="G16" s="200"/>
      <c r="H16" s="200"/>
      <c r="I16" s="200"/>
      <c r="J16" s="200"/>
    </row>
    <row r="17" spans="3:10" ht="17.25" x14ac:dyDescent="0.3">
      <c r="C17" s="69" t="s">
        <v>94</v>
      </c>
      <c r="D17" s="201" t="str">
        <f>IF('Dados a Colocar'!F64="","",'Dados a Colocar'!F64)</f>
        <v/>
      </c>
      <c r="E17" s="201"/>
      <c r="F17" s="71"/>
      <c r="G17" s="71"/>
      <c r="H17" s="71"/>
      <c r="I17" s="71"/>
      <c r="J17" s="71"/>
    </row>
    <row r="20" spans="3:10" ht="20.25" thickBot="1" x14ac:dyDescent="0.35">
      <c r="C20" s="142" t="s">
        <v>67</v>
      </c>
      <c r="D20" s="142"/>
      <c r="E20" s="142"/>
      <c r="F20" s="142"/>
      <c r="G20" s="142"/>
      <c r="H20" s="142"/>
      <c r="I20" s="142"/>
      <c r="J20" s="142"/>
    </row>
    <row r="21" spans="3:10" ht="15.75" thickTop="1" x14ac:dyDescent="0.25"/>
    <row r="22" spans="3:10" ht="17.25" x14ac:dyDescent="0.3">
      <c r="C22" s="69" t="s">
        <v>6</v>
      </c>
      <c r="D22" s="200" t="str">
        <f>IF('Dados a Colocar'!D28="","",'Dados a Colocar'!D28)</f>
        <v/>
      </c>
      <c r="E22" s="200"/>
      <c r="F22" s="200"/>
      <c r="G22" s="200"/>
      <c r="H22" s="200"/>
      <c r="I22" s="200"/>
      <c r="J22" s="200"/>
    </row>
    <row r="23" spans="3:10" ht="17.25" x14ac:dyDescent="0.3">
      <c r="C23" s="69" t="s">
        <v>9</v>
      </c>
      <c r="D23" s="200" t="str">
        <f>IF('Dados a Colocar'!D30="","",'Dados a Colocar'!D30)</f>
        <v/>
      </c>
      <c r="E23" s="200"/>
      <c r="F23" s="200"/>
      <c r="G23" s="200"/>
      <c r="H23" s="200"/>
      <c r="I23" s="200"/>
      <c r="J23" s="200"/>
    </row>
    <row r="24" spans="3:10" ht="17.25" x14ac:dyDescent="0.3">
      <c r="C24" s="69" t="s">
        <v>12</v>
      </c>
      <c r="D24" s="71" t="str">
        <f>IF('Dados a Colocar'!F34="","",'Dados a Colocar'!F34)</f>
        <v/>
      </c>
      <c r="E24" s="200" t="str">
        <f>IF('Dados a Colocar'!E32="","",'Dados a Colocar'!E32)</f>
        <v/>
      </c>
      <c r="F24" s="200"/>
      <c r="G24" s="200"/>
      <c r="H24" s="200"/>
      <c r="I24" s="200"/>
      <c r="J24" s="200"/>
    </row>
    <row r="25" spans="3:10" ht="17.25" x14ac:dyDescent="0.3">
      <c r="C25" s="69" t="s">
        <v>94</v>
      </c>
      <c r="D25" s="201" t="str">
        <f>IF('Dados a Colocar'!F36="","",'Dados a Colocar'!F36)</f>
        <v/>
      </c>
      <c r="E25" s="201"/>
      <c r="F25" s="71"/>
      <c r="G25" s="71"/>
      <c r="H25" s="71"/>
      <c r="I25" s="71"/>
      <c r="J25" s="71"/>
    </row>
    <row r="28" spans="3:10" ht="20.25" thickBot="1" x14ac:dyDescent="0.35">
      <c r="C28" s="142" t="s">
        <v>68</v>
      </c>
      <c r="D28" s="142"/>
      <c r="E28" s="142"/>
      <c r="F28" s="142"/>
      <c r="G28" s="142"/>
      <c r="H28" s="142"/>
      <c r="I28" s="142"/>
      <c r="J28" s="142"/>
    </row>
    <row r="29" spans="3:10" ht="15.75" thickTop="1" x14ac:dyDescent="0.25"/>
    <row r="30" spans="3:10" ht="17.25" x14ac:dyDescent="0.3">
      <c r="C30" s="69" t="s">
        <v>69</v>
      </c>
      <c r="D30" s="72" t="str">
        <f>IF('Dados a Colocar'!B26="X","IRS Prediais",IF('Dados a Colocar'!G26="X","IRS Prediais","Nota: Tem que escolher na folha Dados a Colocar se o senhorio é particular ou uma empresa"))</f>
        <v>Nota: Tem que escolher na folha Dados a Colocar se o senhorio é particular ou uma empresa</v>
      </c>
    </row>
    <row r="32" spans="3:10" ht="15.75" x14ac:dyDescent="0.25">
      <c r="D32" s="73" t="s">
        <v>95</v>
      </c>
      <c r="I32" s="199">
        <f>'Conta-Corrente'!F8</f>
        <v>0</v>
      </c>
      <c r="J32" s="199"/>
    </row>
    <row r="33" spans="3:10" ht="17.25" x14ac:dyDescent="0.3">
      <c r="D33" s="69"/>
      <c r="I33" s="74"/>
      <c r="J33" s="74"/>
    </row>
    <row r="34" spans="3:10" ht="15.75" x14ac:dyDescent="0.25">
      <c r="D34" s="73" t="s">
        <v>96</v>
      </c>
      <c r="I34" s="199">
        <f>IF(AND('Dados a Colocar'!B26="X",'Dados a Colocar'!N26="sim"),0,I32)</f>
        <v>0</v>
      </c>
      <c r="J34" s="199"/>
    </row>
    <row r="35" spans="3:10" ht="17.25" x14ac:dyDescent="0.3">
      <c r="D35" s="69"/>
      <c r="I35" s="74"/>
      <c r="J35" s="74"/>
    </row>
    <row r="36" spans="3:10" ht="15.75" x14ac:dyDescent="0.25">
      <c r="D36" s="73" t="s">
        <v>97</v>
      </c>
      <c r="H36" s="100">
        <f>'Dados a Colocar'!J68</f>
        <v>0</v>
      </c>
      <c r="I36" s="199">
        <f>IF(AND('Dados a Colocar'!B26="X",'Dados a Colocar'!N26="sim"),0,I34*'Dados a Colocar'!J68)</f>
        <v>0</v>
      </c>
      <c r="J36" s="199"/>
    </row>
    <row r="37" spans="3:10" ht="17.25" x14ac:dyDescent="0.3">
      <c r="D37" s="69"/>
      <c r="I37" s="74"/>
      <c r="J37" s="74"/>
    </row>
    <row r="38" spans="3:10" ht="15.75" x14ac:dyDescent="0.25">
      <c r="D38" s="73" t="s">
        <v>98</v>
      </c>
      <c r="I38" s="199">
        <f>I32-I36</f>
        <v>0</v>
      </c>
      <c r="J38" s="199"/>
    </row>
    <row r="44" spans="3:10" x14ac:dyDescent="0.25">
      <c r="C44" s="51" t="str">
        <f>'Dados a Colocar'!E6&amp;" , 20 de Janeiro de "&amp;('Conta-Corrente'!C4+1)</f>
        <v xml:space="preserve"> , 20 de Janeiro de 2011</v>
      </c>
    </row>
    <row r="49" spans="3:6" x14ac:dyDescent="0.25">
      <c r="C49" s="198" t="s">
        <v>99</v>
      </c>
      <c r="D49" s="198"/>
      <c r="E49" s="198"/>
      <c r="F49" s="198"/>
    </row>
  </sheetData>
  <sheetProtection password="A081" sheet="1" objects="1" scenarios="1"/>
  <mergeCells count="20">
    <mergeCell ref="C2:J2"/>
    <mergeCell ref="C3:J3"/>
    <mergeCell ref="C4:J4"/>
    <mergeCell ref="E16:J16"/>
    <mergeCell ref="D17:E17"/>
    <mergeCell ref="C7:J7"/>
    <mergeCell ref="C12:J12"/>
    <mergeCell ref="D14:J14"/>
    <mergeCell ref="D15:J15"/>
    <mergeCell ref="C20:J20"/>
    <mergeCell ref="D22:J22"/>
    <mergeCell ref="D23:J23"/>
    <mergeCell ref="E24:J24"/>
    <mergeCell ref="D25:E25"/>
    <mergeCell ref="C28:J28"/>
    <mergeCell ref="C49:F49"/>
    <mergeCell ref="I32:J32"/>
    <mergeCell ref="I34:J34"/>
    <mergeCell ref="I36:J36"/>
    <mergeCell ref="I38:J38"/>
  </mergeCells>
  <hyperlinks>
    <hyperlink ref="M2" r:id="rId1"/>
  </hyperlinks>
  <printOptions horizontalCentered="1" verticalCentered="1"/>
  <pageMargins left="0.70866141732283472" right="0.70866141732283472" top="0.47244094488188981" bottom="0.27559055118110237" header="0.31496062992125984" footer="0.31496062992125984"/>
  <pageSetup paperSize="9" scale="98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6">
    <pageSetUpPr fitToPage="1"/>
  </sheetPr>
  <dimension ref="A1:Q1000"/>
  <sheetViews>
    <sheetView showGridLines="0" tabSelected="1" zoomScaleNormal="100" workbookViewId="0">
      <selection activeCell="H4" sqref="H4"/>
    </sheetView>
  </sheetViews>
  <sheetFormatPr defaultRowHeight="15" x14ac:dyDescent="0.25"/>
  <cols>
    <col min="2" max="2" width="11.5703125" style="106" customWidth="1"/>
    <col min="3" max="3" width="31.5703125" customWidth="1"/>
    <col min="4" max="4" width="12" customWidth="1"/>
    <col min="5" max="5" width="20.42578125" customWidth="1"/>
    <col min="6" max="6" width="12.42578125" style="111" customWidth="1"/>
    <col min="7" max="7" width="13.140625" style="111" customWidth="1"/>
    <col min="8" max="8" width="14.7109375" customWidth="1"/>
    <col min="9" max="9" width="18.28515625" customWidth="1"/>
    <col min="10" max="10" width="3.140625" customWidth="1"/>
    <col min="11" max="11" width="31.5703125" customWidth="1"/>
    <col min="12" max="13" width="21.28515625" customWidth="1"/>
    <col min="14" max="14" width="22" customWidth="1"/>
    <col min="16" max="16" width="12.42578125" bestFit="1" customWidth="1"/>
    <col min="18" max="18" width="21" bestFit="1" customWidth="1"/>
  </cols>
  <sheetData>
    <row r="1" spans="1:17" s="2" customFormat="1" x14ac:dyDescent="0.25">
      <c r="B1" s="102"/>
      <c r="F1" s="108"/>
      <c r="G1" s="108"/>
      <c r="N1" s="78" t="s">
        <v>103</v>
      </c>
    </row>
    <row r="2" spans="1:17" s="2" customFormat="1" ht="20.25" thickBot="1" x14ac:dyDescent="0.3">
      <c r="B2" s="103" t="str">
        <f>"Receitas e Gastos do Senhorio "&amp;'Dados a Colocar'!D28</f>
        <v xml:space="preserve">Receitas e Gastos do Senhorio </v>
      </c>
      <c r="C2" s="68"/>
      <c r="D2" s="68"/>
      <c r="E2" s="68"/>
      <c r="F2" s="109"/>
      <c r="G2" s="109"/>
      <c r="H2" s="68"/>
      <c r="I2" s="68"/>
      <c r="N2" s="101" t="s">
        <v>184</v>
      </c>
    </row>
    <row r="3" spans="1:17" s="2" customFormat="1" ht="15.75" thickTop="1" x14ac:dyDescent="0.25">
      <c r="B3" s="102"/>
      <c r="F3" s="108"/>
      <c r="G3" s="108"/>
    </row>
    <row r="4" spans="1:17" s="2" customFormat="1" ht="15.75" x14ac:dyDescent="0.25">
      <c r="B4" s="77" t="s">
        <v>185</v>
      </c>
      <c r="C4" s="108" t="str">
        <f>IF('Dados a Colocar'!D4="","",'Dados a Colocar'!D4&amp;" - "&amp;'Dados a Colocar'!E6)</f>
        <v/>
      </c>
      <c r="G4" s="104" t="s">
        <v>70</v>
      </c>
      <c r="H4" s="84">
        <v>2010</v>
      </c>
      <c r="K4" s="205" t="s">
        <v>240</v>
      </c>
      <c r="L4" s="205"/>
      <c r="M4" s="205"/>
      <c r="N4" s="205"/>
    </row>
    <row r="5" spans="1:17" s="2" customFormat="1" x14ac:dyDescent="0.25">
      <c r="B5" s="102"/>
      <c r="F5" s="108"/>
      <c r="G5" s="108"/>
    </row>
    <row r="6" spans="1:17" s="2" customFormat="1" ht="15.75" x14ac:dyDescent="0.25">
      <c r="B6" s="102"/>
      <c r="F6" s="108"/>
      <c r="G6" s="108"/>
      <c r="K6" s="205" t="s">
        <v>241</v>
      </c>
      <c r="L6" s="205"/>
      <c r="M6" s="205"/>
      <c r="N6" s="205"/>
    </row>
    <row r="7" spans="1:17" s="2" customFormat="1" ht="30.75" thickBot="1" x14ac:dyDescent="0.3">
      <c r="B7" s="105" t="s">
        <v>186</v>
      </c>
      <c r="C7" s="3" t="s">
        <v>16</v>
      </c>
      <c r="D7" s="3" t="s">
        <v>88</v>
      </c>
      <c r="E7" s="107" t="s">
        <v>191</v>
      </c>
      <c r="F7" s="110" t="s">
        <v>72</v>
      </c>
      <c r="G7" s="112" t="s">
        <v>188</v>
      </c>
      <c r="H7" s="80" t="s">
        <v>190</v>
      </c>
      <c r="I7" s="80" t="s">
        <v>189</v>
      </c>
      <c r="K7" s="115" t="s">
        <v>187</v>
      </c>
      <c r="L7" s="123" t="s">
        <v>237</v>
      </c>
      <c r="M7" s="116" t="s">
        <v>239</v>
      </c>
    </row>
    <row r="8" spans="1:17" s="2" customFormat="1" ht="15.75" thickTop="1" x14ac:dyDescent="0.25">
      <c r="A8" s="4">
        <f>YEAR(Tabela3[[#This Row],[Data]])</f>
        <v>1900</v>
      </c>
      <c r="B8" s="121"/>
      <c r="C8" s="120"/>
      <c r="D8" s="120"/>
      <c r="E8" s="124" t="str">
        <f>IF(Tabela3[[#This Row],[Descrição]]="","",VLOOKUP(Tabela3[[#This Row],[Descrição]],Tabela4[[Descrição]:[Tipo Receita/ Gasto]],2,FALSE))</f>
        <v/>
      </c>
      <c r="F8" s="122"/>
      <c r="G8" s="113">
        <f>F8</f>
        <v>0</v>
      </c>
      <c r="H8" s="121"/>
      <c r="I8" s="120"/>
      <c r="K8" t="s">
        <v>192</v>
      </c>
      <c r="L8" s="108">
        <f>SUMIF($E$8:$E$1000,Tabela6[[#This Row],[Tipo Receita/ Gasto]],$F$8:$F$1000)</f>
        <v>0</v>
      </c>
      <c r="M8" s="108">
        <f>SUMIFS($F$8:$F$1000,$A$8:$A$1000,$H$4,$E$8:$E$1000,Tabela6[[#This Row],[Tipo Receita/ Gasto]])</f>
        <v>0</v>
      </c>
    </row>
    <row r="9" spans="1:17" s="2" customFormat="1" x14ac:dyDescent="0.25">
      <c r="A9" s="4">
        <f>YEAR(Tabela3[[#This Row],[Data]])</f>
        <v>1900</v>
      </c>
      <c r="B9" s="121"/>
      <c r="C9" s="120"/>
      <c r="D9" s="120"/>
      <c r="E9" s="124" t="str">
        <f>IF(Tabela3[[#This Row],[Descrição]]="","",VLOOKUP(Tabela3[[#This Row],[Descrição]],Tabela4[[Descrição]:[Tipo Receita/ Gasto]],2,FALSE))</f>
        <v/>
      </c>
      <c r="F9" s="122"/>
      <c r="G9" s="113" t="str">
        <f>IF(Tabela3[[#This Row],[Valor]]="","",G8+F9)</f>
        <v/>
      </c>
      <c r="H9" s="121"/>
      <c r="I9" s="120"/>
      <c r="K9" t="s">
        <v>195</v>
      </c>
      <c r="L9" s="108">
        <f>SUMIF($E$8:$E$1000,Tabela6[[#This Row],[Tipo Receita/ Gasto]],$F$8:$F$1000)</f>
        <v>0</v>
      </c>
      <c r="M9" s="108">
        <f>SUMIFS($F$8:$F$1000,$A$8:$A$1000,$H$4,$E$8:$E$1000,Tabela6[[#This Row],[Tipo Receita/ Gasto]])</f>
        <v>0</v>
      </c>
    </row>
    <row r="10" spans="1:17" s="2" customFormat="1" x14ac:dyDescent="0.25">
      <c r="A10" s="4">
        <f>YEAR(Tabela3[[#This Row],[Data]])</f>
        <v>1900</v>
      </c>
      <c r="B10" s="121"/>
      <c r="C10" s="120"/>
      <c r="D10" s="120"/>
      <c r="E10" s="124" t="str">
        <f>IF(Tabela3[[#This Row],[Descrição]]="","",VLOOKUP(Tabela3[[#This Row],[Descrição]],Tabela4[[Descrição]:[Tipo Receita/ Gasto]],2,FALSE))</f>
        <v/>
      </c>
      <c r="F10" s="122"/>
      <c r="G10" s="113" t="str">
        <f>IF(Tabela3[[#This Row],[Valor]]="","",G9+F10)</f>
        <v/>
      </c>
      <c r="H10" s="121"/>
      <c r="I10" s="120"/>
      <c r="K10" t="s">
        <v>196</v>
      </c>
      <c r="L10" s="108">
        <f>SUMIF($E$8:$E$1000,Tabela6[[#This Row],[Tipo Receita/ Gasto]],$F$8:$F$1000)</f>
        <v>0</v>
      </c>
      <c r="M10" s="108">
        <f>SUMIFS($F$8:$F$1000,$A$8:$A$1000,$H$4,$E$8:$E$1000,Tabela6[[#This Row],[Tipo Receita/ Gasto]])</f>
        <v>0</v>
      </c>
    </row>
    <row r="11" spans="1:17" x14ac:dyDescent="0.25">
      <c r="A11" s="4">
        <f>YEAR(Tabela3[[#This Row],[Data]])</f>
        <v>1900</v>
      </c>
      <c r="B11" s="121"/>
      <c r="C11" s="120"/>
      <c r="D11" s="120"/>
      <c r="E11" s="124" t="str">
        <f>IF(Tabela3[[#This Row],[Descrição]]="","",VLOOKUP(Tabela3[[#This Row],[Descrição]],Tabela4[[Descrição]:[Tipo Receita/ Gasto]],2,FALSE))</f>
        <v/>
      </c>
      <c r="F11" s="122"/>
      <c r="G11" s="113" t="str">
        <f>IF(Tabela3[[#This Row],[Valor]]="","",G10+F11)</f>
        <v/>
      </c>
      <c r="H11" s="121"/>
      <c r="I11" s="120"/>
      <c r="K11" t="s">
        <v>206</v>
      </c>
      <c r="L11" s="111">
        <f>SUMIF($E$8:$E$1000,Tabela6[[#This Row],[Tipo Receita/ Gasto]],$F$8:$F$1000)</f>
        <v>0</v>
      </c>
      <c r="M11" s="111">
        <f>SUMIFS($F$8:$F$1000,$A$8:$A$1000,$H$4,$E$8:$E$1000,Tabela6[[#This Row],[Tipo Receita/ Gasto]])</f>
        <v>0</v>
      </c>
      <c r="Q11" s="2"/>
    </row>
    <row r="12" spans="1:17" x14ac:dyDescent="0.25">
      <c r="A12" s="4">
        <f>YEAR(Tabela3[[#This Row],[Data]])</f>
        <v>1900</v>
      </c>
      <c r="B12" s="121"/>
      <c r="C12" s="120"/>
      <c r="D12" s="120"/>
      <c r="E12" s="125" t="str">
        <f>IF(Tabela3[[#This Row],[Descrição]]="","",VLOOKUP(Tabela3[[#This Row],[Descrição]],Tabela4[[Descrição]:[Tipo Receita/ Gasto]],2,FALSE))</f>
        <v/>
      </c>
      <c r="F12" s="122"/>
      <c r="G12" s="113" t="str">
        <f>IF(Tabela3[[#This Row],[Valor]]="","",G11+F12)</f>
        <v/>
      </c>
      <c r="H12" s="121"/>
      <c r="I12" s="120"/>
      <c r="K12" t="s">
        <v>236</v>
      </c>
      <c r="L12" s="111">
        <f>SUMIF($E$8:$E$1000,Tabela6[[#This Row],[Tipo Receita/ Gasto]],$F$8:$F$1000)</f>
        <v>0</v>
      </c>
      <c r="M12" s="111">
        <f>SUMIFS($F$8:$F$1000,$A$8:$A$1000,$H$4,$E$8:$E$1000,Tabela6[[#This Row],[Tipo Receita/ Gasto]])</f>
        <v>0</v>
      </c>
      <c r="Q12" s="2"/>
    </row>
    <row r="13" spans="1:17" x14ac:dyDescent="0.25">
      <c r="A13" s="4">
        <f>YEAR(Tabela3[[#This Row],[Data]])</f>
        <v>1900</v>
      </c>
      <c r="B13" s="121"/>
      <c r="C13" s="120"/>
      <c r="D13" s="120"/>
      <c r="E13" s="125" t="str">
        <f>IF(Tabela3[[#This Row],[Descrição]]="","",VLOOKUP(Tabela3[[#This Row],[Descrição]],Tabela4[[Descrição]:[Tipo Receita/ Gasto]],2,FALSE))</f>
        <v/>
      </c>
      <c r="F13" s="122"/>
      <c r="G13" s="113" t="str">
        <f>IF(Tabela3[[#This Row],[Valor]]="","",G12+F13)</f>
        <v/>
      </c>
      <c r="H13" s="121"/>
      <c r="I13" s="120"/>
      <c r="K13" t="s">
        <v>200</v>
      </c>
      <c r="L13" s="111">
        <f>SUMIF($E$8:$E$1000,Tabela6[[#This Row],[Tipo Receita/ Gasto]],$F$8:$F$1000)</f>
        <v>0</v>
      </c>
      <c r="M13" s="111">
        <f>SUMIFS($F$8:$F$1000,$A$8:$A$1000,$H$4,$E$8:$E$1000,Tabela6[[#This Row],[Tipo Receita/ Gasto]])</f>
        <v>0</v>
      </c>
      <c r="Q13" s="2"/>
    </row>
    <row r="14" spans="1:17" x14ac:dyDescent="0.25">
      <c r="A14" s="4">
        <f>YEAR(Tabela3[[#This Row],[Data]])</f>
        <v>1900</v>
      </c>
      <c r="B14" s="121"/>
      <c r="C14" s="120"/>
      <c r="D14" s="120"/>
      <c r="E14" s="125" t="str">
        <f>IF(Tabela3[[#This Row],[Descrição]]="","",VLOOKUP(Tabela3[[#This Row],[Descrição]],Tabela4[[Descrição]:[Tipo Receita/ Gasto]],2,FALSE))</f>
        <v/>
      </c>
      <c r="F14" s="122"/>
      <c r="G14" s="113" t="str">
        <f>IF(Tabela3[[#This Row],[Valor]]="","",G13+F14)</f>
        <v/>
      </c>
      <c r="H14" s="121"/>
      <c r="I14" s="120"/>
      <c r="K14" t="s">
        <v>199</v>
      </c>
      <c r="L14" s="111">
        <f>SUMIF($E$8:$E$1000,Tabela6[[#This Row],[Tipo Receita/ Gasto]],$F$8:$F$1000)</f>
        <v>0</v>
      </c>
      <c r="M14" s="111">
        <f>SUMIFS($F$8:$F$1000,$A$8:$A$1000,$H$4,$E$8:$E$1000,Tabela6[[#This Row],[Tipo Receita/ Gasto]])</f>
        <v>0</v>
      </c>
      <c r="Q14" s="2"/>
    </row>
    <row r="15" spans="1:17" x14ac:dyDescent="0.25">
      <c r="A15" s="4">
        <f>YEAR(Tabela3[[#This Row],[Data]])</f>
        <v>1900</v>
      </c>
      <c r="B15" s="121"/>
      <c r="C15" s="120"/>
      <c r="D15" s="120"/>
      <c r="E15" s="125" t="str">
        <f>IF(Tabela3[[#This Row],[Descrição]]="","",VLOOKUP(Tabela3[[#This Row],[Descrição]],Tabela4[[Descrição]:[Tipo Receita/ Gasto]],2,FALSE))</f>
        <v/>
      </c>
      <c r="F15" s="122"/>
      <c r="G15" s="113" t="str">
        <f>IF(Tabela3[[#This Row],[Valor]]="","",G14+F15)</f>
        <v/>
      </c>
      <c r="H15" s="121"/>
      <c r="I15" s="120"/>
      <c r="L15" s="111">
        <f>SUMIF($E$8:$E$1000,Tabela6[[#This Row],[Tipo Receita/ Gasto]],$F$8:$F$1000)</f>
        <v>0</v>
      </c>
      <c r="M15" s="111">
        <f>SUMIFS($F$8:$F$1000,$A$8:$A$1000,$H$4,$E$8:$E$1000,Tabela6[[#This Row],[Tipo Receita/ Gasto]])</f>
        <v>0</v>
      </c>
      <c r="Q15" s="2"/>
    </row>
    <row r="16" spans="1:17" x14ac:dyDescent="0.25">
      <c r="A16" s="4">
        <f>YEAR(Tabela3[[#This Row],[Data]])</f>
        <v>1900</v>
      </c>
      <c r="B16" s="121"/>
      <c r="C16" s="120"/>
      <c r="D16" s="120"/>
      <c r="E16" s="125" t="str">
        <f>IF(Tabela3[[#This Row],[Descrição]]="","",VLOOKUP(Tabela3[[#This Row],[Descrição]],Tabela4[[Descrição]:[Tipo Receita/ Gasto]],2,FALSE))</f>
        <v/>
      </c>
      <c r="F16" s="122"/>
      <c r="G16" s="113" t="str">
        <f>IF(Tabela3[[#This Row],[Valor]]="","",G15+F16)</f>
        <v/>
      </c>
      <c r="H16" s="121"/>
      <c r="I16" s="120"/>
      <c r="L16" s="111">
        <f>SUMIF($E$8:$E$1000,Tabela6[[#This Row],[Tipo Receita/ Gasto]],$F$8:$F$1000)</f>
        <v>0</v>
      </c>
      <c r="M16" s="111">
        <f>SUMIFS($F$8:$F$1000,$A$8:$A$1000,$H$4,$E$8:$E$1000,Tabela6[[#This Row],[Tipo Receita/ Gasto]])</f>
        <v>0</v>
      </c>
      <c r="Q16" s="2"/>
    </row>
    <row r="17" spans="1:17" x14ac:dyDescent="0.25">
      <c r="A17" s="4">
        <f>YEAR(Tabela3[[#This Row],[Data]])</f>
        <v>1900</v>
      </c>
      <c r="B17" s="121"/>
      <c r="C17" s="120"/>
      <c r="D17" s="120"/>
      <c r="E17" s="125" t="str">
        <f>IF(Tabela3[[#This Row],[Descrição]]="","",VLOOKUP(Tabela3[[#This Row],[Descrição]],Tabela4[[Descrição]:[Tipo Receita/ Gasto]],2,FALSE))</f>
        <v/>
      </c>
      <c r="F17" s="122"/>
      <c r="G17" s="113" t="str">
        <f>IF(Tabela3[[#This Row],[Valor]]="","",G16+F17)</f>
        <v/>
      </c>
      <c r="H17" s="121"/>
      <c r="I17" s="120"/>
      <c r="L17" s="111">
        <f>SUMIF($E$8:$E$1000,Tabela6[[#This Row],[Tipo Receita/ Gasto]],$F$8:$F$1000)</f>
        <v>0</v>
      </c>
      <c r="M17" s="111">
        <f>SUMIFS($F$8:$F$1000,$A$8:$A$1000,$H$4,$E$8:$E$1000,Tabela6[[#This Row],[Tipo Receita/ Gasto]])</f>
        <v>0</v>
      </c>
      <c r="Q17" s="2"/>
    </row>
    <row r="18" spans="1:17" x14ac:dyDescent="0.25">
      <c r="A18" s="4">
        <f>YEAR(Tabela3[[#This Row],[Data]])</f>
        <v>1900</v>
      </c>
      <c r="B18" s="121"/>
      <c r="C18" s="120"/>
      <c r="D18" s="120"/>
      <c r="E18" s="125" t="str">
        <f>IF(Tabela3[[#This Row],[Descrição]]="","",VLOOKUP(Tabela3[[#This Row],[Descrição]],Tabela4[[Descrição]:[Tipo Receita/ Gasto]],2,FALSE))</f>
        <v/>
      </c>
      <c r="F18" s="122"/>
      <c r="G18" s="113" t="str">
        <f>IF(Tabela3[[#This Row],[Valor]]="","",G17+F18)</f>
        <v/>
      </c>
      <c r="H18" s="121"/>
      <c r="I18" s="120"/>
      <c r="L18" s="111">
        <f>SUMIF($E$8:$E$1000,Tabela6[[#This Row],[Tipo Receita/ Gasto]],$F$8:$F$1000)</f>
        <v>0</v>
      </c>
      <c r="M18" s="111">
        <f>SUMIFS($F$8:$F$1000,$A$8:$A$1000,$H$4,$E$8:$E$1000,Tabela6[[#This Row],[Tipo Receita/ Gasto]])</f>
        <v>0</v>
      </c>
      <c r="Q18" s="2"/>
    </row>
    <row r="19" spans="1:17" x14ac:dyDescent="0.25">
      <c r="A19" s="4">
        <f>YEAR(Tabela3[[#This Row],[Data]])</f>
        <v>1900</v>
      </c>
      <c r="B19" s="121"/>
      <c r="C19" s="120"/>
      <c r="D19" s="120"/>
      <c r="E19" s="125" t="str">
        <f>IF(Tabela3[[#This Row],[Descrição]]="","",VLOOKUP(Tabela3[[#This Row],[Descrição]],Tabela4[[Descrição]:[Tipo Receita/ Gasto]],2,FALSE))</f>
        <v/>
      </c>
      <c r="F19" s="122"/>
      <c r="G19" s="113" t="str">
        <f>IF(Tabela3[[#This Row],[Valor]]="","",G18+F19)</f>
        <v/>
      </c>
      <c r="H19" s="121"/>
      <c r="I19" s="120"/>
      <c r="L19" s="111">
        <f>SUMIF($E$8:$E$1000,Tabela6[[#This Row],[Tipo Receita/ Gasto]],$F$8:$F$1000)</f>
        <v>0</v>
      </c>
      <c r="M19" s="111">
        <f>SUMIFS($F$8:$F$1000,$A$8:$A$1000,$H$4,$E$8:$E$1000,Tabela6[[#This Row],[Tipo Receita/ Gasto]])</f>
        <v>0</v>
      </c>
      <c r="Q19" s="2"/>
    </row>
    <row r="20" spans="1:17" x14ac:dyDescent="0.25">
      <c r="A20" s="4">
        <f>YEAR(Tabela3[[#This Row],[Data]])</f>
        <v>1900</v>
      </c>
      <c r="B20" s="121"/>
      <c r="C20" s="120"/>
      <c r="D20" s="120"/>
      <c r="E20" s="125" t="str">
        <f>IF(Tabela3[[#This Row],[Descrição]]="","",VLOOKUP(Tabela3[[#This Row],[Descrição]],Tabela4[[Descrição]:[Tipo Receita/ Gasto]],2,FALSE))</f>
        <v/>
      </c>
      <c r="F20" s="122"/>
      <c r="G20" s="113" t="str">
        <f>IF(Tabela3[[#This Row],[Valor]]="","",G19+F20)</f>
        <v/>
      </c>
      <c r="H20" s="121"/>
      <c r="I20" s="120"/>
      <c r="K20" t="s">
        <v>90</v>
      </c>
      <c r="L20" s="111">
        <f>SUBTOTAL(109,Tabela6[Total Acumulado])</f>
        <v>0</v>
      </c>
      <c r="M20" s="111">
        <f>SUBTOTAL(109,Tabela6[Total do Ano Seleccionado (H4)])</f>
        <v>0</v>
      </c>
      <c r="Q20" s="2"/>
    </row>
    <row r="21" spans="1:17" x14ac:dyDescent="0.25">
      <c r="A21" s="4">
        <f>YEAR(Tabela3[[#This Row],[Data]])</f>
        <v>1900</v>
      </c>
      <c r="B21" s="121"/>
      <c r="C21" s="120"/>
      <c r="D21" s="120"/>
      <c r="E21" s="125" t="str">
        <f>IF(Tabela3[[#This Row],[Descrição]]="","",VLOOKUP(Tabela3[[#This Row],[Descrição]],Tabela4[[Descrição]:[Tipo Receita/ Gasto]],2,FALSE))</f>
        <v/>
      </c>
      <c r="F21" s="122"/>
      <c r="G21" s="113" t="str">
        <f>IF(Tabela3[[#This Row],[Valor]]="","",G20+F21)</f>
        <v/>
      </c>
      <c r="H21" s="121"/>
      <c r="I21" s="120"/>
    </row>
    <row r="22" spans="1:17" ht="15.75" x14ac:dyDescent="0.25">
      <c r="A22" s="4">
        <f>YEAR(Tabela3[[#This Row],[Data]])</f>
        <v>1900</v>
      </c>
      <c r="B22" s="121"/>
      <c r="C22" s="120"/>
      <c r="D22" s="120"/>
      <c r="E22" s="125" t="str">
        <f>IF(Tabela3[[#This Row],[Descrição]]="","",VLOOKUP(Tabela3[[#This Row],[Descrição]],Tabela4[[Descrição]:[Tipo Receita/ Gasto]],2,FALSE))</f>
        <v/>
      </c>
      <c r="F22" s="122"/>
      <c r="G22" s="113" t="str">
        <f>IF(Tabela3[[#This Row],[Valor]]="","",G21+F22)</f>
        <v/>
      </c>
      <c r="H22" s="121"/>
      <c r="I22" s="120"/>
      <c r="K22" s="205" t="s">
        <v>242</v>
      </c>
      <c r="L22" s="205"/>
      <c r="M22" s="205"/>
      <c r="N22" s="205"/>
    </row>
    <row r="23" spans="1:17" ht="15.75" thickBot="1" x14ac:dyDescent="0.3">
      <c r="A23" s="4">
        <f>YEAR(Tabela3[[#This Row],[Data]])</f>
        <v>1900</v>
      </c>
      <c r="B23" s="121"/>
      <c r="C23" s="120"/>
      <c r="D23" s="120"/>
      <c r="E23" s="125" t="str">
        <f>IF(Tabela3[[#This Row],[Descrição]]="","",VLOOKUP(Tabela3[[#This Row],[Descrição]],Tabela4[[Descrição]:[Tipo Receita/ Gasto]],2,FALSE))</f>
        <v/>
      </c>
      <c r="F23" s="122"/>
      <c r="G23" s="113" t="str">
        <f>IF(Tabela3[[#This Row],[Valor]]="","",G22+F23)</f>
        <v/>
      </c>
      <c r="H23" s="121"/>
      <c r="I23" s="120"/>
      <c r="K23" s="114" t="s">
        <v>16</v>
      </c>
      <c r="L23" s="115" t="s">
        <v>187</v>
      </c>
      <c r="M23" s="116" t="s">
        <v>237</v>
      </c>
      <c r="N23" s="116" t="s">
        <v>243</v>
      </c>
    </row>
    <row r="24" spans="1:17" ht="15.75" thickTop="1" x14ac:dyDescent="0.25">
      <c r="A24" s="4">
        <f>YEAR(Tabela3[[#This Row],[Data]])</f>
        <v>1900</v>
      </c>
      <c r="B24" s="121"/>
      <c r="C24" s="120"/>
      <c r="D24" s="120"/>
      <c r="E24" s="125" t="str">
        <f>IF(Tabela3[[#This Row],[Descrição]]="","",VLOOKUP(Tabela3[[#This Row],[Descrição]],Tabela4[[Descrição]:[Tipo Receita/ Gasto]],2,FALSE))</f>
        <v/>
      </c>
      <c r="F24" s="122"/>
      <c r="G24" s="113" t="str">
        <f>IF(Tabela3[[#This Row],[Valor]]="","",G23+F24)</f>
        <v/>
      </c>
      <c r="H24" s="121"/>
      <c r="I24" s="120"/>
      <c r="K24" s="118" t="s">
        <v>74</v>
      </c>
      <c r="L24" s="118" t="s">
        <v>192</v>
      </c>
      <c r="M24" s="108">
        <f>SUMIF($C$8:$C$1000,Tabela4[[#This Row],[Descrição]],$F$8:$F$1000)</f>
        <v>0</v>
      </c>
      <c r="N24" s="108">
        <f>SUMIFS($F$8:$F$1000,$A$8:$A$1000,$H$4,$C$8:$C$1000,Tabela4[[#This Row],[Descrição]])</f>
        <v>0</v>
      </c>
    </row>
    <row r="25" spans="1:17" x14ac:dyDescent="0.25">
      <c r="A25" s="4">
        <f>YEAR(Tabela3[[#This Row],[Data]])</f>
        <v>1900</v>
      </c>
      <c r="B25" s="121"/>
      <c r="C25" s="120"/>
      <c r="D25" s="120"/>
      <c r="E25" s="125" t="str">
        <f>IF(Tabela3[[#This Row],[Descrição]]="","",VLOOKUP(Tabela3[[#This Row],[Descrição]],Tabela4[[Descrição]:[Tipo Receita/ Gasto]],2,FALSE))</f>
        <v/>
      </c>
      <c r="F25" s="122"/>
      <c r="G25" s="113" t="str">
        <f>IF(Tabela3[[#This Row],[Valor]]="","",G24+F25)</f>
        <v/>
      </c>
      <c r="H25" s="121"/>
      <c r="I25" s="120"/>
      <c r="K25" s="118" t="s">
        <v>193</v>
      </c>
      <c r="L25" s="118" t="s">
        <v>195</v>
      </c>
      <c r="M25" s="108">
        <f>SUMIF($C$8:$C$1000,Tabela4[[#This Row],[Descrição]],$F$8:$F$1000)</f>
        <v>0</v>
      </c>
      <c r="N25" s="108">
        <f>SUMIFS($F$8:$F$1000,$A$8:$A$1000,$H$4,$C$8:$C$1000,Tabela4[[#This Row],[Descrição]])</f>
        <v>0</v>
      </c>
    </row>
    <row r="26" spans="1:17" x14ac:dyDescent="0.25">
      <c r="A26" s="4">
        <f>YEAR(Tabela3[[#This Row],[Data]])</f>
        <v>1900</v>
      </c>
      <c r="B26" s="121"/>
      <c r="C26" s="120"/>
      <c r="D26" s="120"/>
      <c r="E26" s="125" t="str">
        <f>IF(Tabela3[[#This Row],[Descrição]]="","",VLOOKUP(Tabela3[[#This Row],[Descrição]],Tabela4[[Descrição]:[Tipo Receita/ Gasto]],2,FALSE))</f>
        <v/>
      </c>
      <c r="F26" s="122"/>
      <c r="G26" s="113" t="str">
        <f>IF(Tabela3[[#This Row],[Valor]]="","",G25+F26)</f>
        <v/>
      </c>
      <c r="H26" s="121"/>
      <c r="I26" s="120"/>
      <c r="K26" s="118" t="s">
        <v>194</v>
      </c>
      <c r="L26" s="118" t="s">
        <v>196</v>
      </c>
      <c r="M26" s="108">
        <f>SUMIF($C$8:$C$1000,Tabela4[[#This Row],[Descrição]],$F$8:$F$1000)</f>
        <v>0</v>
      </c>
      <c r="N26" s="108">
        <f>SUMIFS($F$8:$F$1000,$A$8:$A$1000,$H$4,$C$8:$C$1000,Tabela4[[#This Row],[Descrição]])</f>
        <v>0</v>
      </c>
    </row>
    <row r="27" spans="1:17" x14ac:dyDescent="0.25">
      <c r="A27" s="4">
        <f>YEAR(Tabela3[[#This Row],[Data]])</f>
        <v>1900</v>
      </c>
      <c r="B27" s="121"/>
      <c r="C27" s="120"/>
      <c r="D27" s="120"/>
      <c r="E27" s="124" t="str">
        <f>IF(Tabela3[[#This Row],[Descrição]]="","",VLOOKUP(Tabela3[[#This Row],[Descrição]],Tabela4[[Descrição]:[Tipo Receita/ Gasto]],2,FALSE))</f>
        <v/>
      </c>
      <c r="F27" s="122"/>
      <c r="G27" s="113" t="str">
        <f>IF(Tabela3[[#This Row],[Valor]]="","",G26+F27)</f>
        <v/>
      </c>
      <c r="H27" s="121"/>
      <c r="I27" s="120"/>
      <c r="K27" s="119" t="s">
        <v>197</v>
      </c>
      <c r="L27" s="118" t="s">
        <v>196</v>
      </c>
      <c r="M27" s="108">
        <f>SUMIF($C$8:$C$1000,Tabela4[[#This Row],[Descrição]],$F$8:$F$1000)</f>
        <v>0</v>
      </c>
      <c r="N27" s="108">
        <f>SUMIFS($F$8:$F$1000,$A$8:$A$1000,$H$4,$C$8:$C$1000,Tabela4[[#This Row],[Descrição]])</f>
        <v>0</v>
      </c>
    </row>
    <row r="28" spans="1:17" x14ac:dyDescent="0.25">
      <c r="A28" s="4">
        <f>YEAR(Tabela3[[#This Row],[Data]])</f>
        <v>1900</v>
      </c>
      <c r="B28" s="121"/>
      <c r="C28" s="120"/>
      <c r="D28" s="120"/>
      <c r="E28" s="126" t="str">
        <f>IF(Tabela3[[#This Row],[Descrição]]="","",VLOOKUP(Tabela3[[#This Row],[Descrição]],Tabela4[[Descrição]:[Tipo Receita/ Gasto]],2,FALSE))</f>
        <v/>
      </c>
      <c r="F28" s="122"/>
      <c r="G28" s="113" t="str">
        <f>IF(Tabela3[[#This Row],[Valor]]="","",G27+F28)</f>
        <v/>
      </c>
      <c r="H28" s="121"/>
      <c r="I28" s="120"/>
      <c r="K28" s="119" t="s">
        <v>207</v>
      </c>
      <c r="L28" s="119" t="s">
        <v>206</v>
      </c>
      <c r="M28" s="117">
        <f>SUMIF($C$8:$C$1000,Tabela4[[#This Row],[Descrição]],$F$8:$F$1000)</f>
        <v>0</v>
      </c>
      <c r="N28" s="117">
        <f>SUMIFS($F$8:$F$1000,$A$8:$A$1000,$H$4,$C$8:$C$1000,Tabela4[[#This Row],[Descrição]])</f>
        <v>0</v>
      </c>
    </row>
    <row r="29" spans="1:17" x14ac:dyDescent="0.25">
      <c r="A29" s="4">
        <f>YEAR(Tabela3[[#This Row],[Data]])</f>
        <v>1900</v>
      </c>
      <c r="B29" s="121"/>
      <c r="C29" s="120"/>
      <c r="D29" s="120"/>
      <c r="E29" s="126" t="str">
        <f>IF(Tabela3[[#This Row],[Descrição]]="","",VLOOKUP(Tabela3[[#This Row],[Descrição]],Tabela4[[Descrição]:[Tipo Receita/ Gasto]],2,FALSE))</f>
        <v/>
      </c>
      <c r="F29" s="122"/>
      <c r="G29" s="113" t="str">
        <f>IF(Tabela3[[#This Row],[Valor]]="","",G28+F29)</f>
        <v/>
      </c>
      <c r="H29" s="121"/>
      <c r="I29" s="120"/>
      <c r="K29" s="119" t="s">
        <v>208</v>
      </c>
      <c r="L29" s="119" t="s">
        <v>206</v>
      </c>
      <c r="M29" s="117">
        <f>SUMIF($C$8:$C$1000,Tabela4[[#This Row],[Descrição]],$F$8:$F$1000)</f>
        <v>0</v>
      </c>
      <c r="N29" s="117">
        <f>SUMIFS($F$8:$F$1000,$A$8:$A$1000,$H$4,$C$8:$C$1000,Tabela4[[#This Row],[Descrição]])</f>
        <v>0</v>
      </c>
    </row>
    <row r="30" spans="1:17" x14ac:dyDescent="0.25">
      <c r="A30" s="4">
        <f>YEAR(Tabela3[[#This Row],[Data]])</f>
        <v>1900</v>
      </c>
      <c r="B30" s="121"/>
      <c r="C30" s="120"/>
      <c r="D30" s="120"/>
      <c r="E30" s="126" t="str">
        <f>IF(Tabela3[[#This Row],[Descrição]]="","",VLOOKUP(Tabela3[[#This Row],[Descrição]],Tabela4[[Descrição]:[Tipo Receita/ Gasto]],2,FALSE))</f>
        <v/>
      </c>
      <c r="F30" s="122"/>
      <c r="G30" s="113" t="str">
        <f>IF(Tabela3[[#This Row],[Valor]]="","",G29+F30)</f>
        <v/>
      </c>
      <c r="H30" s="121"/>
      <c r="I30" s="120"/>
      <c r="K30" s="119" t="s">
        <v>228</v>
      </c>
      <c r="L30" s="119" t="s">
        <v>206</v>
      </c>
      <c r="M30" s="117">
        <f>SUMIF($C$8:$C$1000,Tabela4[[#This Row],[Descrição]],$F$8:$F$1000)</f>
        <v>0</v>
      </c>
      <c r="N30" s="117">
        <f>SUMIFS($F$8:$F$1000,$A$8:$A$1000,$H$4,$C$8:$C$1000,Tabela4[[#This Row],[Descrição]])</f>
        <v>0</v>
      </c>
    </row>
    <row r="31" spans="1:17" x14ac:dyDescent="0.25">
      <c r="A31" s="4">
        <f>YEAR(Tabela3[[#This Row],[Data]])</f>
        <v>1900</v>
      </c>
      <c r="B31" s="121"/>
      <c r="C31" s="120"/>
      <c r="D31" s="120"/>
      <c r="E31" s="126" t="str">
        <f>IF(Tabela3[[#This Row],[Descrição]]="","",VLOOKUP(Tabela3[[#This Row],[Descrição]],Tabela4[[Descrição]:[Tipo Receita/ Gasto]],2,FALSE))</f>
        <v/>
      </c>
      <c r="F31" s="122"/>
      <c r="G31" s="113" t="str">
        <f>IF(Tabela3[[#This Row],[Valor]]="","",G30+F31)</f>
        <v/>
      </c>
      <c r="H31" s="121"/>
      <c r="I31" s="120"/>
      <c r="K31" s="119" t="s">
        <v>229</v>
      </c>
      <c r="L31" s="119" t="s">
        <v>206</v>
      </c>
      <c r="M31" s="117">
        <f>SUMIF($C$8:$C$1000,Tabela4[[#This Row],[Descrição]],$F$8:$F$1000)</f>
        <v>0</v>
      </c>
      <c r="N31" s="117">
        <f>SUMIFS($F$8:$F$1000,$A$8:$A$1000,$H$4,$C$8:$C$1000,Tabela4[[#This Row],[Descrição]])</f>
        <v>0</v>
      </c>
    </row>
    <row r="32" spans="1:17" x14ac:dyDescent="0.25">
      <c r="A32" s="4">
        <f>YEAR(Tabela3[[#This Row],[Data]])</f>
        <v>1900</v>
      </c>
      <c r="B32" s="121"/>
      <c r="C32" s="120"/>
      <c r="D32" s="120"/>
      <c r="E32" s="126" t="str">
        <f>IF(Tabela3[[#This Row],[Descrição]]="","",VLOOKUP(Tabela3[[#This Row],[Descrição]],Tabela4[[Descrição]:[Tipo Receita/ Gasto]],2,FALSE))</f>
        <v/>
      </c>
      <c r="F32" s="122"/>
      <c r="G32" s="113" t="str">
        <f>IF(Tabela3[[#This Row],[Valor]]="","",G31+F32)</f>
        <v/>
      </c>
      <c r="H32" s="121"/>
      <c r="I32" s="120"/>
      <c r="K32" s="119" t="s">
        <v>230</v>
      </c>
      <c r="L32" s="119" t="s">
        <v>206</v>
      </c>
      <c r="M32" s="117">
        <f>SUMIF($C$8:$C$1000,Tabela4[[#This Row],[Descrição]],$F$8:$F$1000)</f>
        <v>0</v>
      </c>
      <c r="N32" s="117">
        <f>SUMIFS($F$8:$F$1000,$A$8:$A$1000,$H$4,$C$8:$C$1000,Tabela4[[#This Row],[Descrição]])</f>
        <v>0</v>
      </c>
    </row>
    <row r="33" spans="1:14" x14ac:dyDescent="0.25">
      <c r="A33" s="4">
        <f>YEAR(Tabela3[[#This Row],[Data]])</f>
        <v>1900</v>
      </c>
      <c r="B33" s="121"/>
      <c r="C33" s="120"/>
      <c r="D33" s="120"/>
      <c r="E33" s="126" t="str">
        <f>IF(Tabela3[[#This Row],[Descrição]]="","",VLOOKUP(Tabela3[[#This Row],[Descrição]],Tabela4[[Descrição]:[Tipo Receita/ Gasto]],2,FALSE))</f>
        <v/>
      </c>
      <c r="F33" s="122"/>
      <c r="G33" s="113" t="str">
        <f>IF(Tabela3[[#This Row],[Valor]]="","",G32+F33)</f>
        <v/>
      </c>
      <c r="H33" s="121"/>
      <c r="I33" s="120"/>
      <c r="K33" s="119" t="s">
        <v>231</v>
      </c>
      <c r="L33" s="119" t="s">
        <v>206</v>
      </c>
      <c r="M33" s="117">
        <f>SUMIF($C$8:$C$1000,Tabela4[[#This Row],[Descrição]],$F$8:$F$1000)</f>
        <v>0</v>
      </c>
      <c r="N33" s="117">
        <f>SUMIFS($F$8:$F$1000,$A$8:$A$1000,$H$4,$C$8:$C$1000,Tabela4[[#This Row],[Descrição]])</f>
        <v>0</v>
      </c>
    </row>
    <row r="34" spans="1:14" x14ac:dyDescent="0.25">
      <c r="A34" s="4">
        <f>YEAR(Tabela3[[#This Row],[Data]])</f>
        <v>1900</v>
      </c>
      <c r="B34" s="121"/>
      <c r="C34" s="120"/>
      <c r="D34" s="120"/>
      <c r="E34" s="126" t="str">
        <f>IF(Tabela3[[#This Row],[Descrição]]="","",VLOOKUP(Tabela3[[#This Row],[Descrição]],Tabela4[[Descrição]:[Tipo Receita/ Gasto]],2,FALSE))</f>
        <v/>
      </c>
      <c r="F34" s="122"/>
      <c r="G34" s="113" t="str">
        <f>IF(Tabela3[[#This Row],[Valor]]="","",G33+F34)</f>
        <v/>
      </c>
      <c r="H34" s="121"/>
      <c r="I34" s="120"/>
      <c r="K34" s="119" t="s">
        <v>232</v>
      </c>
      <c r="L34" s="119" t="s">
        <v>206</v>
      </c>
      <c r="M34" s="117">
        <f>SUMIF($C$8:$C$1000,Tabela4[[#This Row],[Descrição]],$F$8:$F$1000)</f>
        <v>0</v>
      </c>
      <c r="N34" s="117">
        <f>SUMIFS($F$8:$F$1000,$A$8:$A$1000,$H$4,$C$8:$C$1000,Tabela4[[#This Row],[Descrição]])</f>
        <v>0</v>
      </c>
    </row>
    <row r="35" spans="1:14" x14ac:dyDescent="0.25">
      <c r="A35" s="4">
        <f>YEAR(Tabela3[[#This Row],[Data]])</f>
        <v>1900</v>
      </c>
      <c r="B35" s="121"/>
      <c r="C35" s="120"/>
      <c r="D35" s="120"/>
      <c r="E35" s="126" t="str">
        <f>IF(Tabela3[[#This Row],[Descrição]]="","",VLOOKUP(Tabela3[[#This Row],[Descrição]],Tabela4[[Descrição]:[Tipo Receita/ Gasto]],2,FALSE))</f>
        <v/>
      </c>
      <c r="F35" s="122"/>
      <c r="G35" s="113" t="str">
        <f>IF(Tabela3[[#This Row],[Valor]]="","",G34+F35)</f>
        <v/>
      </c>
      <c r="H35" s="121"/>
      <c r="I35" s="120"/>
      <c r="K35" s="119" t="s">
        <v>233</v>
      </c>
      <c r="L35" s="119" t="s">
        <v>206</v>
      </c>
      <c r="M35" s="117">
        <f>SUMIF($C$8:$C$1000,Tabela4[[#This Row],[Descrição]],$F$8:$F$1000)</f>
        <v>0</v>
      </c>
      <c r="N35" s="117">
        <f>SUMIFS($F$8:$F$1000,$A$8:$A$1000,$H$4,$C$8:$C$1000,Tabela4[[#This Row],[Descrição]])</f>
        <v>0</v>
      </c>
    </row>
    <row r="36" spans="1:14" x14ac:dyDescent="0.25">
      <c r="A36" s="4">
        <f>YEAR(Tabela3[[#This Row],[Data]])</f>
        <v>1900</v>
      </c>
      <c r="B36" s="121"/>
      <c r="C36" s="120"/>
      <c r="D36" s="120"/>
      <c r="E36" s="126" t="str">
        <f>IF(Tabela3[[#This Row],[Descrição]]="","",VLOOKUP(Tabela3[[#This Row],[Descrição]],Tabela4[[Descrição]:[Tipo Receita/ Gasto]],2,FALSE))</f>
        <v/>
      </c>
      <c r="F36" s="122"/>
      <c r="G36" s="113" t="str">
        <f>IF(Tabela3[[#This Row],[Valor]]="","",G35+F36)</f>
        <v/>
      </c>
      <c r="H36" s="121"/>
      <c r="I36" s="120"/>
      <c r="K36" s="119" t="s">
        <v>234</v>
      </c>
      <c r="L36" s="119" t="s">
        <v>236</v>
      </c>
      <c r="M36" s="117">
        <f>SUMIF($C$8:$C$1000,Tabela4[[#This Row],[Descrição]],$F$8:$F$1000)</f>
        <v>0</v>
      </c>
      <c r="N36" s="117">
        <f>SUMIFS($F$8:$F$1000,$A$8:$A$1000,$H$4,$C$8:$C$1000,Tabela4[[#This Row],[Descrição]])</f>
        <v>0</v>
      </c>
    </row>
    <row r="37" spans="1:14" x14ac:dyDescent="0.25">
      <c r="A37" s="4">
        <f>YEAR(Tabela3[[#This Row],[Data]])</f>
        <v>1900</v>
      </c>
      <c r="B37" s="121"/>
      <c r="C37" s="120"/>
      <c r="D37" s="120"/>
      <c r="E37" s="126" t="str">
        <f>IF(Tabela3[[#This Row],[Descrição]]="","",VLOOKUP(Tabela3[[#This Row],[Descrição]],Tabela4[[Descrição]:[Tipo Receita/ Gasto]],2,FALSE))</f>
        <v/>
      </c>
      <c r="F37" s="122"/>
      <c r="G37" s="113" t="str">
        <f>IF(Tabela3[[#This Row],[Valor]]="","",G36+F37)</f>
        <v/>
      </c>
      <c r="H37" s="121"/>
      <c r="I37" s="120"/>
      <c r="K37" s="119" t="s">
        <v>235</v>
      </c>
      <c r="L37" s="119" t="s">
        <v>236</v>
      </c>
      <c r="M37" s="117">
        <f>SUMIF($C$8:$C$1000,Tabela4[[#This Row],[Descrição]],$F$8:$F$1000)</f>
        <v>0</v>
      </c>
      <c r="N37" s="117">
        <f>SUMIFS($F$8:$F$1000,$A$8:$A$1000,$H$4,$C$8:$C$1000,Tabela4[[#This Row],[Descrição]])</f>
        <v>0</v>
      </c>
    </row>
    <row r="38" spans="1:14" x14ac:dyDescent="0.25">
      <c r="A38" s="4">
        <f>YEAR(Tabela3[[#This Row],[Data]])</f>
        <v>1900</v>
      </c>
      <c r="B38" s="121"/>
      <c r="C38" s="120"/>
      <c r="D38" s="120"/>
      <c r="E38" s="126" t="str">
        <f>IF(Tabela3[[#This Row],[Descrição]]="","",VLOOKUP(Tabela3[[#This Row],[Descrição]],Tabela4[[Descrição]:[Tipo Receita/ Gasto]],2,FALSE))</f>
        <v/>
      </c>
      <c r="F38" s="122"/>
      <c r="G38" s="113" t="str">
        <f>IF(Tabela3[[#This Row],[Valor]]="","",G37+F38)</f>
        <v/>
      </c>
      <c r="H38" s="121"/>
      <c r="I38" s="120"/>
      <c r="K38" s="119" t="s">
        <v>201</v>
      </c>
      <c r="L38" s="119" t="s">
        <v>200</v>
      </c>
      <c r="M38" s="117">
        <f>SUMIF($C$8:$C$1000,Tabela4[[#This Row],[Descrição]],$F$8:$F$1000)</f>
        <v>0</v>
      </c>
      <c r="N38" s="117">
        <f>SUMIFS($F$8:$F$1000,$A$8:$A$1000,$H$4,$C$8:$C$1000,Tabela4[[#This Row],[Descrição]])</f>
        <v>0</v>
      </c>
    </row>
    <row r="39" spans="1:14" x14ac:dyDescent="0.25">
      <c r="A39" s="4">
        <f>YEAR(Tabela3[[#This Row],[Data]])</f>
        <v>1900</v>
      </c>
      <c r="B39" s="121"/>
      <c r="C39" s="120"/>
      <c r="D39" s="120"/>
      <c r="E39" s="126" t="str">
        <f>IF(Tabela3[[#This Row],[Descrição]]="","",VLOOKUP(Tabela3[[#This Row],[Descrição]],Tabela4[[Descrição]:[Tipo Receita/ Gasto]],2,FALSE))</f>
        <v/>
      </c>
      <c r="F39" s="122"/>
      <c r="G39" s="113" t="str">
        <f>IF(Tabela3[[#This Row],[Valor]]="","",G38+F39)</f>
        <v/>
      </c>
      <c r="H39" s="121"/>
      <c r="I39" s="120"/>
      <c r="K39" s="119" t="s">
        <v>202</v>
      </c>
      <c r="L39" s="119" t="s">
        <v>200</v>
      </c>
      <c r="M39" s="117">
        <f>SUMIF($C$8:$C$1000,Tabela4[[#This Row],[Descrição]],$F$8:$F$1000)</f>
        <v>0</v>
      </c>
      <c r="N39" s="117">
        <f>SUMIFS($F$8:$F$1000,$A$8:$A$1000,$H$4,$C$8:$C$1000,Tabela4[[#This Row],[Descrição]])</f>
        <v>0</v>
      </c>
    </row>
    <row r="40" spans="1:14" x14ac:dyDescent="0.25">
      <c r="A40" s="4">
        <f>YEAR(Tabela3[[#This Row],[Data]])</f>
        <v>1900</v>
      </c>
      <c r="B40" s="121"/>
      <c r="C40" s="120"/>
      <c r="D40" s="120"/>
      <c r="E40" s="126" t="str">
        <f>IF(Tabela3[[#This Row],[Descrição]]="","",VLOOKUP(Tabela3[[#This Row],[Descrição]],Tabela4[[Descrição]:[Tipo Receita/ Gasto]],2,FALSE))</f>
        <v/>
      </c>
      <c r="F40" s="122"/>
      <c r="G40" s="113" t="str">
        <f>IF(Tabela3[[#This Row],[Valor]]="","",G39+F40)</f>
        <v/>
      </c>
      <c r="H40" s="121"/>
      <c r="I40" s="120"/>
      <c r="K40" s="119" t="s">
        <v>203</v>
      </c>
      <c r="L40" s="119" t="s">
        <v>200</v>
      </c>
      <c r="M40" s="117">
        <f>SUMIF($C$8:$C$1000,Tabela4[[#This Row],[Descrição]],$F$8:$F$1000)</f>
        <v>0</v>
      </c>
      <c r="N40" s="117">
        <f>SUMIFS($F$8:$F$1000,$A$8:$A$1000,$H$4,$C$8:$C$1000,Tabela4[[#This Row],[Descrição]])</f>
        <v>0</v>
      </c>
    </row>
    <row r="41" spans="1:14" x14ac:dyDescent="0.25">
      <c r="A41" s="4">
        <f>YEAR(Tabela3[[#This Row],[Data]])</f>
        <v>1900</v>
      </c>
      <c r="B41" s="121"/>
      <c r="C41" s="120"/>
      <c r="D41" s="120"/>
      <c r="E41" s="126" t="str">
        <f>IF(Tabela3[[#This Row],[Descrição]]="","",VLOOKUP(Tabela3[[#This Row],[Descrição]],Tabela4[[Descrição]:[Tipo Receita/ Gasto]],2,FALSE))</f>
        <v/>
      </c>
      <c r="F41" s="122"/>
      <c r="G41" s="113" t="str">
        <f>IF(Tabela3[[#This Row],[Valor]]="","",G40+F41)</f>
        <v/>
      </c>
      <c r="H41" s="121"/>
      <c r="I41" s="120"/>
      <c r="K41" s="119" t="s">
        <v>204</v>
      </c>
      <c r="L41" s="119" t="s">
        <v>200</v>
      </c>
      <c r="M41" s="117">
        <f>SUMIF($C$8:$C$1000,Tabela4[[#This Row],[Descrição]],$F$8:$F$1000)</f>
        <v>0</v>
      </c>
      <c r="N41" s="117">
        <f>SUMIFS($F$8:$F$1000,$A$8:$A$1000,$H$4,$C$8:$C$1000,Tabela4[[#This Row],[Descrição]])</f>
        <v>0</v>
      </c>
    </row>
    <row r="42" spans="1:14" x14ac:dyDescent="0.25">
      <c r="A42" s="4">
        <f>YEAR(Tabela3[[#This Row],[Data]])</f>
        <v>1900</v>
      </c>
      <c r="B42" s="121"/>
      <c r="C42" s="120"/>
      <c r="D42" s="120"/>
      <c r="E42" s="126" t="str">
        <f>IF(Tabela3[[#This Row],[Descrição]]="","",VLOOKUP(Tabela3[[#This Row],[Descrição]],Tabela4[[Descrição]:[Tipo Receita/ Gasto]],2,FALSE))</f>
        <v/>
      </c>
      <c r="F42" s="122"/>
      <c r="G42" s="113" t="str">
        <f>IF(Tabela3[[#This Row],[Valor]]="","",G41+F42)</f>
        <v/>
      </c>
      <c r="H42" s="121"/>
      <c r="I42" s="120"/>
      <c r="K42" s="119" t="s">
        <v>205</v>
      </c>
      <c r="L42" s="119" t="s">
        <v>200</v>
      </c>
      <c r="M42" s="117">
        <f>SUMIF($C$8:$C$1000,Tabela4[[#This Row],[Descrição]],$F$8:$F$1000)</f>
        <v>0</v>
      </c>
      <c r="N42" s="117">
        <f>SUMIFS($F$8:$F$1000,$A$8:$A$1000,$H$4,$C$8:$C$1000,Tabela4[[#This Row],[Descrição]])</f>
        <v>0</v>
      </c>
    </row>
    <row r="43" spans="1:14" x14ac:dyDescent="0.25">
      <c r="A43" s="4">
        <f>YEAR(Tabela3[[#This Row],[Data]])</f>
        <v>1900</v>
      </c>
      <c r="B43" s="121"/>
      <c r="C43" s="120"/>
      <c r="D43" s="120"/>
      <c r="E43" s="126" t="str">
        <f>IF(Tabela3[[#This Row],[Descrição]]="","",VLOOKUP(Tabela3[[#This Row],[Descrição]],Tabela4[[Descrição]:[Tipo Receita/ Gasto]],2,FALSE))</f>
        <v/>
      </c>
      <c r="F43" s="122"/>
      <c r="G43" s="113" t="str">
        <f>IF(Tabela3[[#This Row],[Valor]]="","",G42+F43)</f>
        <v/>
      </c>
      <c r="H43" s="121"/>
      <c r="I43" s="120"/>
      <c r="K43" s="119" t="s">
        <v>198</v>
      </c>
      <c r="L43" s="118" t="s">
        <v>199</v>
      </c>
      <c r="M43" s="108">
        <f>SUMIF($C$8:$C$1000,Tabela4[[#This Row],[Descrição]],$F$8:$F$1000)</f>
        <v>0</v>
      </c>
      <c r="N43" s="108">
        <f>SUMIFS($F$8:$F$1000,$A$8:$A$1000,$H$4,$C$8:$C$1000,Tabela4[[#This Row],[Descrição]])</f>
        <v>0</v>
      </c>
    </row>
    <row r="44" spans="1:14" x14ac:dyDescent="0.25">
      <c r="A44" s="4">
        <f>YEAR(Tabela3[[#This Row],[Data]])</f>
        <v>1900</v>
      </c>
      <c r="B44" s="121"/>
      <c r="C44" s="120"/>
      <c r="D44" s="120"/>
      <c r="E44" s="126" t="str">
        <f>IF(Tabela3[[#This Row],[Descrição]]="","",VLOOKUP(Tabela3[[#This Row],[Descrição]],Tabela4[[Descrição]:[Tipo Receita/ Gasto]],2,FALSE))</f>
        <v/>
      </c>
      <c r="F44" s="122"/>
      <c r="G44" s="113" t="str">
        <f>IF(Tabela3[[#This Row],[Valor]]="","",G43+F44)</f>
        <v/>
      </c>
      <c r="H44" s="121"/>
      <c r="I44" s="120"/>
      <c r="K44" s="120" t="s">
        <v>238</v>
      </c>
      <c r="L44" s="120" t="s">
        <v>199</v>
      </c>
      <c r="M44" s="111">
        <f>SUMIF($C$8:$C$1000,Tabela4[[#This Row],[Descrição]],$F$8:$F$1000)</f>
        <v>0</v>
      </c>
      <c r="N44" s="111">
        <f>SUMIFS($F$8:$F$1000,$A$8:$A$1000,$H$4,$C$8:$C$1000,Tabela4[[#This Row],[Descrição]])</f>
        <v>0</v>
      </c>
    </row>
    <row r="45" spans="1:14" x14ac:dyDescent="0.25">
      <c r="A45" s="4">
        <f>YEAR(Tabela3[[#This Row],[Data]])</f>
        <v>1900</v>
      </c>
      <c r="B45" s="121"/>
      <c r="C45" s="120"/>
      <c r="D45" s="120"/>
      <c r="E45" s="126" t="str">
        <f>IF(Tabela3[[#This Row],[Descrição]]="","",VLOOKUP(Tabela3[[#This Row],[Descrição]],Tabela4[[Descrição]:[Tipo Receita/ Gasto]],2,FALSE))</f>
        <v/>
      </c>
      <c r="F45" s="122"/>
      <c r="G45" s="113" t="str">
        <f>IF(Tabela3[[#This Row],[Valor]]="","",G44+F45)</f>
        <v/>
      </c>
      <c r="H45" s="121"/>
      <c r="I45" s="120"/>
      <c r="K45" s="120"/>
      <c r="L45" s="120"/>
      <c r="M45" s="111">
        <f>SUMIF($C$8:$C$1000,Tabela4[[#This Row],[Descrição]],$F$8:$F$1000)</f>
        <v>0</v>
      </c>
      <c r="N45" s="111">
        <f>SUMIFS($F$8:$F$1000,$A$8:$A$1000,$H$4,$C$8:$C$1000,Tabela4[[#This Row],[Descrição]])</f>
        <v>0</v>
      </c>
    </row>
    <row r="46" spans="1:14" x14ac:dyDescent="0.25">
      <c r="A46" s="4">
        <f>YEAR(Tabela3[[#This Row],[Data]])</f>
        <v>1900</v>
      </c>
      <c r="B46" s="121"/>
      <c r="C46" s="120"/>
      <c r="D46" s="120"/>
      <c r="E46" s="126" t="str">
        <f>IF(Tabela3[[#This Row],[Descrição]]="","",VLOOKUP(Tabela3[[#This Row],[Descrição]],Tabela4[[Descrição]:[Tipo Receita/ Gasto]],2,FALSE))</f>
        <v/>
      </c>
      <c r="F46" s="122"/>
      <c r="G46" s="113" t="str">
        <f>IF(Tabela3[[#This Row],[Valor]]="","",G45+F46)</f>
        <v/>
      </c>
      <c r="H46" s="121"/>
      <c r="I46" s="120"/>
      <c r="K46" s="120"/>
      <c r="L46" s="120"/>
      <c r="M46" s="111">
        <f>SUMIF($C$8:$C$1000,Tabela4[[#This Row],[Descrição]],$F$8:$F$1000)</f>
        <v>0</v>
      </c>
      <c r="N46" s="111">
        <f>SUMIFS($F$8:$F$1000,$A$8:$A$1000,$H$4,$C$8:$C$1000,Tabela4[[#This Row],[Descrição]])</f>
        <v>0</v>
      </c>
    </row>
    <row r="47" spans="1:14" x14ac:dyDescent="0.25">
      <c r="A47" s="4">
        <f>YEAR(Tabela3[[#This Row],[Data]])</f>
        <v>1900</v>
      </c>
      <c r="B47" s="121"/>
      <c r="C47" s="120"/>
      <c r="D47" s="120"/>
      <c r="E47" s="126" t="str">
        <f>IF(Tabela3[[#This Row],[Descrição]]="","",VLOOKUP(Tabela3[[#This Row],[Descrição]],Tabela4[[Descrição]:[Tipo Receita/ Gasto]],2,FALSE))</f>
        <v/>
      </c>
      <c r="F47" s="122"/>
      <c r="G47" s="113" t="str">
        <f>IF(Tabela3[[#This Row],[Valor]]="","",G46+F47)</f>
        <v/>
      </c>
      <c r="H47" s="121"/>
      <c r="I47" s="120"/>
      <c r="K47" s="120"/>
      <c r="L47" s="120"/>
      <c r="M47" s="111">
        <f>SUMIF($C$8:$C$1000,Tabela4[[#This Row],[Descrição]],$F$8:$F$1000)</f>
        <v>0</v>
      </c>
      <c r="N47" s="111">
        <f>SUMIFS($F$8:$F$1000,$A$8:$A$1000,$H$4,$C$8:$C$1000,Tabela4[[#This Row],[Descrição]])</f>
        <v>0</v>
      </c>
    </row>
    <row r="48" spans="1:14" x14ac:dyDescent="0.25">
      <c r="A48" s="4">
        <f>YEAR(Tabela3[[#This Row],[Data]])</f>
        <v>1900</v>
      </c>
      <c r="B48" s="121"/>
      <c r="C48" s="120"/>
      <c r="D48" s="120"/>
      <c r="E48" s="126" t="str">
        <f>IF(Tabela3[[#This Row],[Descrição]]="","",VLOOKUP(Tabela3[[#This Row],[Descrição]],Tabela4[[Descrição]:[Tipo Receita/ Gasto]],2,FALSE))</f>
        <v/>
      </c>
      <c r="F48" s="122"/>
      <c r="G48" s="113" t="str">
        <f>IF(Tabela3[[#This Row],[Valor]]="","",G47+F48)</f>
        <v/>
      </c>
      <c r="H48" s="121"/>
      <c r="I48" s="120"/>
      <c r="K48" s="120"/>
      <c r="L48" s="120"/>
      <c r="M48" s="111">
        <f>SUMIF($C$8:$C$1000,Tabela4[[#This Row],[Descrição]],$F$8:$F$1000)</f>
        <v>0</v>
      </c>
      <c r="N48" s="111">
        <f>SUMIFS($F$8:$F$1000,$A$8:$A$1000,$H$4,$C$8:$C$1000,Tabela4[[#This Row],[Descrição]])</f>
        <v>0</v>
      </c>
    </row>
    <row r="49" spans="1:14" x14ac:dyDescent="0.25">
      <c r="A49" s="4">
        <f>YEAR(Tabela3[[#This Row],[Data]])</f>
        <v>1900</v>
      </c>
      <c r="B49" s="121"/>
      <c r="C49" s="120"/>
      <c r="D49" s="120"/>
      <c r="E49" s="126" t="str">
        <f>IF(Tabela3[[#This Row],[Descrição]]="","",VLOOKUP(Tabela3[[#This Row],[Descrição]],Tabela4[[Descrição]:[Tipo Receita/ Gasto]],2,FALSE))</f>
        <v/>
      </c>
      <c r="F49" s="122"/>
      <c r="G49" s="113" t="str">
        <f>IF(Tabela3[[#This Row],[Valor]]="","",G48+F49)</f>
        <v/>
      </c>
      <c r="H49" s="121"/>
      <c r="I49" s="120"/>
      <c r="K49" s="120"/>
      <c r="L49" s="120"/>
      <c r="M49" s="111">
        <f>SUMIF($C$8:$C$1000,Tabela4[[#This Row],[Descrição]],$F$8:$F$1000)</f>
        <v>0</v>
      </c>
      <c r="N49" s="111">
        <f>SUMIFS($F$8:$F$1000,$A$8:$A$1000,$H$4,$C$8:$C$1000,Tabela4[[#This Row],[Descrição]])</f>
        <v>0</v>
      </c>
    </row>
    <row r="50" spans="1:14" x14ac:dyDescent="0.25">
      <c r="A50" s="4">
        <f>YEAR(Tabela3[[#This Row],[Data]])</f>
        <v>1900</v>
      </c>
      <c r="B50" s="121"/>
      <c r="C50" s="120"/>
      <c r="D50" s="120"/>
      <c r="E50" s="126" t="str">
        <f>IF(Tabela3[[#This Row],[Descrição]]="","",VLOOKUP(Tabela3[[#This Row],[Descrição]],Tabela4[[Descrição]:[Tipo Receita/ Gasto]],2,FALSE))</f>
        <v/>
      </c>
      <c r="F50" s="122"/>
      <c r="G50" s="113" t="str">
        <f>IF(Tabela3[[#This Row],[Valor]]="","",G49+F50)</f>
        <v/>
      </c>
      <c r="H50" s="121"/>
      <c r="I50" s="120"/>
      <c r="K50" s="120"/>
      <c r="L50" s="120"/>
      <c r="M50" s="111">
        <f>SUMIF($C$8:$C$1000,Tabela4[[#This Row],[Descrição]],$F$8:$F$1000)</f>
        <v>0</v>
      </c>
      <c r="N50" s="111">
        <f>SUMIFS($F$8:$F$1000,$A$8:$A$1000,$H$4,$C$8:$C$1000,Tabela4[[#This Row],[Descrição]])</f>
        <v>0</v>
      </c>
    </row>
    <row r="51" spans="1:14" x14ac:dyDescent="0.25">
      <c r="A51" s="4">
        <f>YEAR(Tabela3[[#This Row],[Data]])</f>
        <v>1900</v>
      </c>
      <c r="B51" s="121"/>
      <c r="C51" s="120"/>
      <c r="D51" s="120"/>
      <c r="E51" s="126" t="str">
        <f>IF(Tabela3[[#This Row],[Descrição]]="","",VLOOKUP(Tabela3[[#This Row],[Descrição]],Tabela4[[Descrição]:[Tipo Receita/ Gasto]],2,FALSE))</f>
        <v/>
      </c>
      <c r="F51" s="122"/>
      <c r="G51" s="113" t="str">
        <f>IF(Tabela3[[#This Row],[Valor]]="","",G50+F51)</f>
        <v/>
      </c>
      <c r="H51" s="121"/>
      <c r="I51" s="120"/>
      <c r="K51" s="120"/>
      <c r="L51" s="120"/>
      <c r="M51" s="111">
        <f>SUMIF($C$8:$C$1000,Tabela4[[#This Row],[Descrição]],$F$8:$F$1000)</f>
        <v>0</v>
      </c>
      <c r="N51" s="111">
        <f>SUMIFS($F$8:$F$1000,$A$8:$A$1000,$H$4,$C$8:$C$1000,Tabela4[[#This Row],[Descrição]])</f>
        <v>0</v>
      </c>
    </row>
    <row r="52" spans="1:14" x14ac:dyDescent="0.25">
      <c r="A52" s="4">
        <f>YEAR(Tabela3[[#This Row],[Data]])</f>
        <v>1900</v>
      </c>
      <c r="B52" s="121"/>
      <c r="C52" s="120"/>
      <c r="D52" s="120"/>
      <c r="E52" s="126" t="str">
        <f>IF(Tabela3[[#This Row],[Descrição]]="","",VLOOKUP(Tabela3[[#This Row],[Descrição]],Tabela4[[Descrição]:[Tipo Receita/ Gasto]],2,FALSE))</f>
        <v/>
      </c>
      <c r="F52" s="122"/>
      <c r="G52" s="113" t="str">
        <f>IF(Tabela3[[#This Row],[Valor]]="","",G51+F52)</f>
        <v/>
      </c>
      <c r="H52" s="121"/>
      <c r="I52" s="120"/>
      <c r="K52" s="120"/>
      <c r="L52" s="120"/>
      <c r="M52" s="111">
        <f>SUMIF($C$8:$C$1000,Tabela4[[#This Row],[Descrição]],$F$8:$F$1000)</f>
        <v>0</v>
      </c>
      <c r="N52" s="111">
        <f>SUMIFS($F$8:$F$1000,$A$8:$A$1000,$H$4,$C$8:$C$1000,Tabela4[[#This Row],[Descrição]])</f>
        <v>0</v>
      </c>
    </row>
    <row r="53" spans="1:14" x14ac:dyDescent="0.25">
      <c r="A53" s="4">
        <f>YEAR(Tabela3[[#This Row],[Data]])</f>
        <v>1900</v>
      </c>
      <c r="B53" s="121"/>
      <c r="C53" s="120"/>
      <c r="D53" s="120"/>
      <c r="E53" s="126" t="str">
        <f>IF(Tabela3[[#This Row],[Descrição]]="","",VLOOKUP(Tabela3[[#This Row],[Descrição]],Tabela4[[Descrição]:[Tipo Receita/ Gasto]],2,FALSE))</f>
        <v/>
      </c>
      <c r="F53" s="122"/>
      <c r="G53" s="113" t="str">
        <f>IF(Tabela3[[#This Row],[Valor]]="","",G52+F53)</f>
        <v/>
      </c>
      <c r="H53" s="121"/>
      <c r="I53" s="120"/>
      <c r="K53" s="120"/>
      <c r="L53" s="120"/>
      <c r="M53" s="111">
        <f>SUMIF($C$8:$C$1000,Tabela4[[#This Row],[Descrição]],$F$8:$F$1000)</f>
        <v>0</v>
      </c>
      <c r="N53" s="111">
        <f>SUMIFS($F$8:$F$1000,$A$8:$A$1000,$H$4,$C$8:$C$1000,Tabela4[[#This Row],[Descrição]])</f>
        <v>0</v>
      </c>
    </row>
    <row r="54" spans="1:14" x14ac:dyDescent="0.25">
      <c r="A54" s="4">
        <f>YEAR(Tabela3[[#This Row],[Data]])</f>
        <v>1900</v>
      </c>
      <c r="B54" s="121"/>
      <c r="C54" s="120"/>
      <c r="D54" s="120"/>
      <c r="E54" s="126" t="str">
        <f>IF(Tabela3[[#This Row],[Descrição]]="","",VLOOKUP(Tabela3[[#This Row],[Descrição]],Tabela4[[Descrição]:[Tipo Receita/ Gasto]],2,FALSE))</f>
        <v/>
      </c>
      <c r="F54" s="122"/>
      <c r="G54" s="113" t="str">
        <f>IF(Tabela3[[#This Row],[Valor]]="","",G53+F54)</f>
        <v/>
      </c>
      <c r="H54" s="121"/>
      <c r="I54" s="120"/>
      <c r="K54" s="120"/>
      <c r="L54" s="120"/>
      <c r="M54" s="111">
        <f>SUMIF($C$8:$C$1000,Tabela4[[#This Row],[Descrição]],$F$8:$F$1000)</f>
        <v>0</v>
      </c>
      <c r="N54" s="111">
        <f>SUMIFS($F$8:$F$1000,$A$8:$A$1000,$H$4,$C$8:$C$1000,Tabela4[[#This Row],[Descrição]])</f>
        <v>0</v>
      </c>
    </row>
    <row r="55" spans="1:14" x14ac:dyDescent="0.25">
      <c r="A55" s="4">
        <f>YEAR(Tabela3[[#This Row],[Data]])</f>
        <v>1900</v>
      </c>
      <c r="B55" s="121"/>
      <c r="C55" s="120"/>
      <c r="D55" s="120"/>
      <c r="E55" s="126" t="str">
        <f>IF(Tabela3[[#This Row],[Descrição]]="","",VLOOKUP(Tabela3[[#This Row],[Descrição]],Tabela4[[Descrição]:[Tipo Receita/ Gasto]],2,FALSE))</f>
        <v/>
      </c>
      <c r="F55" s="122"/>
      <c r="G55" s="113" t="str">
        <f>IF(Tabela3[[#This Row],[Valor]]="","",G54+F55)</f>
        <v/>
      </c>
      <c r="H55" s="121"/>
      <c r="I55" s="120"/>
      <c r="K55" s="120"/>
      <c r="L55" s="120"/>
      <c r="M55" s="111">
        <f>SUMIF($C$8:$C$1000,Tabela4[[#This Row],[Descrição]],$F$8:$F$1000)</f>
        <v>0</v>
      </c>
      <c r="N55" s="111">
        <f>SUMIFS($F$8:$F$1000,$A$8:$A$1000,$H$4,$C$8:$C$1000,Tabela4[[#This Row],[Descrição]])</f>
        <v>0</v>
      </c>
    </row>
    <row r="56" spans="1:14" x14ac:dyDescent="0.25">
      <c r="A56" s="4">
        <f>YEAR(Tabela3[[#This Row],[Data]])</f>
        <v>1900</v>
      </c>
      <c r="B56" s="121"/>
      <c r="C56" s="120"/>
      <c r="D56" s="120"/>
      <c r="E56" s="126" t="str">
        <f>IF(Tabela3[[#This Row],[Descrição]]="","",VLOOKUP(Tabela3[[#This Row],[Descrição]],Tabela4[[Descrição]:[Tipo Receita/ Gasto]],2,FALSE))</f>
        <v/>
      </c>
      <c r="F56" s="122"/>
      <c r="G56" s="113" t="str">
        <f>IF(Tabela3[[#This Row],[Valor]]="","",G55+F56)</f>
        <v/>
      </c>
      <c r="H56" s="121"/>
      <c r="I56" s="120"/>
      <c r="K56" s="120"/>
      <c r="L56" s="120"/>
      <c r="M56" s="111">
        <f>SUMIF($C$8:$C$1000,Tabela4[[#This Row],[Descrição]],$F$8:$F$1000)</f>
        <v>0</v>
      </c>
      <c r="N56" s="111">
        <f>SUMIFS($F$8:$F$1000,$A$8:$A$1000,$H$4,$C$8:$C$1000,Tabela4[[#This Row],[Descrição]])</f>
        <v>0</v>
      </c>
    </row>
    <row r="57" spans="1:14" x14ac:dyDescent="0.25">
      <c r="A57" s="4">
        <f>YEAR(Tabela3[[#This Row],[Data]])</f>
        <v>1900</v>
      </c>
      <c r="B57" s="121"/>
      <c r="C57" s="120"/>
      <c r="D57" s="120"/>
      <c r="E57" s="126" t="str">
        <f>IF(Tabela3[[#This Row],[Descrição]]="","",VLOOKUP(Tabela3[[#This Row],[Descrição]],Tabela4[[Descrição]:[Tipo Receita/ Gasto]],2,FALSE))</f>
        <v/>
      </c>
      <c r="F57" s="122"/>
      <c r="G57" s="113" t="str">
        <f>IF(Tabela3[[#This Row],[Valor]]="","",G56+F57)</f>
        <v/>
      </c>
      <c r="H57" s="121"/>
      <c r="I57" s="120"/>
      <c r="K57" s="120"/>
      <c r="L57" s="120"/>
      <c r="M57" s="111">
        <f>SUMIF($C$8:$C$1000,Tabela4[[#This Row],[Descrição]],$F$8:$F$1000)</f>
        <v>0</v>
      </c>
      <c r="N57" s="111">
        <f>SUMIFS($F$8:$F$1000,$A$8:$A$1000,$H$4,$C$8:$C$1000,Tabela4[[#This Row],[Descrição]])</f>
        <v>0</v>
      </c>
    </row>
    <row r="58" spans="1:14" x14ac:dyDescent="0.25">
      <c r="A58" s="4">
        <f>YEAR(Tabela3[[#This Row],[Data]])</f>
        <v>1900</v>
      </c>
      <c r="B58" s="121"/>
      <c r="C58" s="120"/>
      <c r="D58" s="120"/>
      <c r="E58" s="126" t="str">
        <f>IF(Tabela3[[#This Row],[Descrição]]="","",VLOOKUP(Tabela3[[#This Row],[Descrição]],Tabela4[[Descrição]:[Tipo Receita/ Gasto]],2,FALSE))</f>
        <v/>
      </c>
      <c r="F58" s="122"/>
      <c r="G58" s="113" t="str">
        <f>IF(Tabela3[[#This Row],[Valor]]="","",G57+F58)</f>
        <v/>
      </c>
      <c r="H58" s="121"/>
      <c r="I58" s="120"/>
      <c r="K58" s="120"/>
      <c r="L58" s="120"/>
      <c r="M58" s="111">
        <f>SUMIF($C$8:$C$1000,Tabela4[[#This Row],[Descrição]],$F$8:$F$1000)</f>
        <v>0</v>
      </c>
      <c r="N58" s="111">
        <f>SUMIFS($F$8:$F$1000,$A$8:$A$1000,$H$4,$C$8:$C$1000,Tabela4[[#This Row],[Descrição]])</f>
        <v>0</v>
      </c>
    </row>
    <row r="59" spans="1:14" x14ac:dyDescent="0.25">
      <c r="A59" s="4">
        <f>YEAR(Tabela3[[#This Row],[Data]])</f>
        <v>1900</v>
      </c>
      <c r="B59" s="121"/>
      <c r="C59" s="120"/>
      <c r="D59" s="120"/>
      <c r="E59" s="126" t="str">
        <f>IF(Tabela3[[#This Row],[Descrição]]="","",VLOOKUP(Tabela3[[#This Row],[Descrição]],Tabela4[[Descrição]:[Tipo Receita/ Gasto]],2,FALSE))</f>
        <v/>
      </c>
      <c r="F59" s="122"/>
      <c r="G59" s="113" t="str">
        <f>IF(Tabela3[[#This Row],[Valor]]="","",G58+F59)</f>
        <v/>
      </c>
      <c r="H59" s="121"/>
      <c r="I59" s="120"/>
      <c r="K59" s="120"/>
      <c r="L59" s="120"/>
      <c r="M59" s="111">
        <f>SUMIF($C$8:$C$1000,Tabela4[[#This Row],[Descrição]],$F$8:$F$1000)</f>
        <v>0</v>
      </c>
      <c r="N59" s="111">
        <f>SUMIFS($F$8:$F$1000,$A$8:$A$1000,$H$4,$C$8:$C$1000,Tabela4[[#This Row],[Descrição]])</f>
        <v>0</v>
      </c>
    </row>
    <row r="60" spans="1:14" x14ac:dyDescent="0.25">
      <c r="A60" s="4">
        <f>YEAR(Tabela3[[#This Row],[Data]])</f>
        <v>1900</v>
      </c>
      <c r="B60" s="121"/>
      <c r="C60" s="120"/>
      <c r="D60" s="120"/>
      <c r="E60" s="126" t="str">
        <f>IF(Tabela3[[#This Row],[Descrição]]="","",VLOOKUP(Tabela3[[#This Row],[Descrição]],Tabela4[[Descrição]:[Tipo Receita/ Gasto]],2,FALSE))</f>
        <v/>
      </c>
      <c r="F60" s="122"/>
      <c r="G60" s="113" t="str">
        <f>IF(Tabela3[[#This Row],[Valor]]="","",G59+F60)</f>
        <v/>
      </c>
      <c r="H60" s="121"/>
      <c r="I60" s="120"/>
      <c r="K60" s="120"/>
      <c r="L60" s="120"/>
      <c r="M60" s="111">
        <f>SUMIF($C$8:$C$1000,Tabela4[[#This Row],[Descrição]],$F$8:$F$1000)</f>
        <v>0</v>
      </c>
      <c r="N60" s="111">
        <f>SUMIFS($F$8:$F$1000,$A$8:$A$1000,$H$4,$C$8:$C$1000,Tabela4[[#This Row],[Descrição]])</f>
        <v>0</v>
      </c>
    </row>
    <row r="61" spans="1:14" x14ac:dyDescent="0.25">
      <c r="A61" s="4">
        <f>YEAR(Tabela3[[#This Row],[Data]])</f>
        <v>1900</v>
      </c>
      <c r="B61" s="121"/>
      <c r="C61" s="120"/>
      <c r="D61" s="120"/>
      <c r="E61" s="126" t="str">
        <f>IF(Tabela3[[#This Row],[Descrição]]="","",VLOOKUP(Tabela3[[#This Row],[Descrição]],Tabela4[[Descrição]:[Tipo Receita/ Gasto]],2,FALSE))</f>
        <v/>
      </c>
      <c r="F61" s="122"/>
      <c r="G61" s="113" t="str">
        <f>IF(Tabela3[[#This Row],[Valor]]="","",G60+F61)</f>
        <v/>
      </c>
      <c r="H61" s="121"/>
      <c r="I61" s="120"/>
      <c r="K61" s="120"/>
      <c r="L61" s="120"/>
      <c r="M61" s="111">
        <f>SUMIF($C$8:$C$1000,Tabela4[[#This Row],[Descrição]],$F$8:$F$1000)</f>
        <v>0</v>
      </c>
      <c r="N61" s="111">
        <f>SUMIFS($F$8:$F$1000,$A$8:$A$1000,$H$4,$C$8:$C$1000,Tabela4[[#This Row],[Descrição]])</f>
        <v>0</v>
      </c>
    </row>
    <row r="62" spans="1:14" x14ac:dyDescent="0.25">
      <c r="A62" s="4">
        <f>YEAR(Tabela3[[#This Row],[Data]])</f>
        <v>1900</v>
      </c>
      <c r="B62" s="121"/>
      <c r="C62" s="120"/>
      <c r="D62" s="120"/>
      <c r="E62" s="126" t="str">
        <f>IF(Tabela3[[#This Row],[Descrição]]="","",VLOOKUP(Tabela3[[#This Row],[Descrição]],Tabela4[[Descrição]:[Tipo Receita/ Gasto]],2,FALSE))</f>
        <v/>
      </c>
      <c r="F62" s="122"/>
      <c r="G62" s="113" t="str">
        <f>IF(Tabela3[[#This Row],[Valor]]="","",G61+F62)</f>
        <v/>
      </c>
      <c r="H62" s="121"/>
      <c r="I62" s="120"/>
      <c r="K62" s="120"/>
      <c r="L62" s="120"/>
      <c r="M62" s="111">
        <f>SUMIF($C$8:$C$1000,Tabela4[[#This Row],[Descrição]],$F$8:$F$1000)</f>
        <v>0</v>
      </c>
      <c r="N62" s="111">
        <f>SUMIFS($F$8:$F$1000,$A$8:$A$1000,$H$4,$C$8:$C$1000,Tabela4[[#This Row],[Descrição]])</f>
        <v>0</v>
      </c>
    </row>
    <row r="63" spans="1:14" x14ac:dyDescent="0.25">
      <c r="A63" s="4">
        <f>YEAR(Tabela3[[#This Row],[Data]])</f>
        <v>1900</v>
      </c>
      <c r="B63" s="121"/>
      <c r="C63" s="120"/>
      <c r="D63" s="120"/>
      <c r="E63" s="126" t="str">
        <f>IF(Tabela3[[#This Row],[Descrição]]="","",VLOOKUP(Tabela3[[#This Row],[Descrição]],Tabela4[[Descrição]:[Tipo Receita/ Gasto]],2,FALSE))</f>
        <v/>
      </c>
      <c r="F63" s="122"/>
      <c r="G63" s="113" t="str">
        <f>IF(Tabela3[[#This Row],[Valor]]="","",G62+F63)</f>
        <v/>
      </c>
      <c r="H63" s="121"/>
      <c r="I63" s="120"/>
      <c r="K63" s="120"/>
      <c r="L63" s="120"/>
      <c r="M63" s="111">
        <f>SUMIF($C$8:$C$1000,Tabela4[[#This Row],[Descrição]],$F$8:$F$1000)</f>
        <v>0</v>
      </c>
      <c r="N63" s="111">
        <f>SUMIFS($F$8:$F$1000,$A$8:$A$1000,$H$4,$C$8:$C$1000,Tabela4[[#This Row],[Descrição]])</f>
        <v>0</v>
      </c>
    </row>
    <row r="64" spans="1:14" x14ac:dyDescent="0.25">
      <c r="A64" s="4">
        <f>YEAR(Tabela3[[#This Row],[Data]])</f>
        <v>1900</v>
      </c>
      <c r="B64" s="121"/>
      <c r="C64" s="120"/>
      <c r="D64" s="120"/>
      <c r="E64" s="126" t="str">
        <f>IF(Tabela3[[#This Row],[Descrição]]="","",VLOOKUP(Tabela3[[#This Row],[Descrição]],Tabela4[[Descrição]:[Tipo Receita/ Gasto]],2,FALSE))</f>
        <v/>
      </c>
      <c r="F64" s="122"/>
      <c r="G64" s="113" t="str">
        <f>IF(Tabela3[[#This Row],[Valor]]="","",G63+F64)</f>
        <v/>
      </c>
      <c r="H64" s="121"/>
      <c r="I64" s="120"/>
      <c r="K64" s="120"/>
      <c r="L64" s="120"/>
      <c r="M64" s="111">
        <f>SUMIF($C$8:$C$1000,Tabela4[[#This Row],[Descrição]],$F$8:$F$1000)</f>
        <v>0</v>
      </c>
      <c r="N64" s="111">
        <f>SUMIFS($F$8:$F$1000,$A$8:$A$1000,$H$4,$C$8:$C$1000,Tabela4[[#This Row],[Descrição]])</f>
        <v>0</v>
      </c>
    </row>
    <row r="65" spans="1:14" x14ac:dyDescent="0.25">
      <c r="A65" s="4">
        <f>YEAR(Tabela3[[#This Row],[Data]])</f>
        <v>1900</v>
      </c>
      <c r="B65" s="121"/>
      <c r="C65" s="120"/>
      <c r="D65" s="120"/>
      <c r="E65" s="126" t="str">
        <f>IF(Tabela3[[#This Row],[Descrição]]="","",VLOOKUP(Tabela3[[#This Row],[Descrição]],Tabela4[[Descrição]:[Tipo Receita/ Gasto]],2,FALSE))</f>
        <v/>
      </c>
      <c r="F65" s="122"/>
      <c r="G65" s="113" t="str">
        <f>IF(Tabela3[[#This Row],[Valor]]="","",G64+F65)</f>
        <v/>
      </c>
      <c r="H65" s="121"/>
      <c r="I65" s="120"/>
      <c r="K65" s="120"/>
      <c r="L65" s="120"/>
      <c r="M65" s="111">
        <f>SUMIF($C$8:$C$1000,Tabela4[[#This Row],[Descrição]],$F$8:$F$1000)</f>
        <v>0</v>
      </c>
      <c r="N65" s="111">
        <f>SUMIFS($F$8:$F$1000,$A$8:$A$1000,$H$4,$C$8:$C$1000,Tabela4[[#This Row],[Descrição]])</f>
        <v>0</v>
      </c>
    </row>
    <row r="66" spans="1:14" x14ac:dyDescent="0.25">
      <c r="A66" s="4">
        <f>YEAR(Tabela3[[#This Row],[Data]])</f>
        <v>1900</v>
      </c>
      <c r="B66" s="121"/>
      <c r="C66" s="120"/>
      <c r="D66" s="120"/>
      <c r="E66" s="126" t="str">
        <f>IF(Tabela3[[#This Row],[Descrição]]="","",VLOOKUP(Tabela3[[#This Row],[Descrição]],Tabela4[[Descrição]:[Tipo Receita/ Gasto]],2,FALSE))</f>
        <v/>
      </c>
      <c r="F66" s="122"/>
      <c r="G66" s="113" t="str">
        <f>IF(Tabela3[[#This Row],[Valor]]="","",G65+F66)</f>
        <v/>
      </c>
      <c r="H66" s="121"/>
      <c r="I66" s="120"/>
      <c r="K66" s="120"/>
      <c r="L66" s="120"/>
      <c r="M66" s="111">
        <f>SUMIF($C$8:$C$1000,Tabela4[[#This Row],[Descrição]],$F$8:$F$1000)</f>
        <v>0</v>
      </c>
      <c r="N66" s="111">
        <f>SUMIFS($F$8:$F$1000,$A$8:$A$1000,$H$4,$C$8:$C$1000,Tabela4[[#This Row],[Descrição]])</f>
        <v>0</v>
      </c>
    </row>
    <row r="67" spans="1:14" x14ac:dyDescent="0.25">
      <c r="A67" s="4">
        <f>YEAR(Tabela3[[#This Row],[Data]])</f>
        <v>1900</v>
      </c>
      <c r="B67" s="121"/>
      <c r="C67" s="120"/>
      <c r="D67" s="120"/>
      <c r="E67" s="126" t="str">
        <f>IF(Tabela3[[#This Row],[Descrição]]="","",VLOOKUP(Tabela3[[#This Row],[Descrição]],Tabela4[[Descrição]:[Tipo Receita/ Gasto]],2,FALSE))</f>
        <v/>
      </c>
      <c r="F67" s="122"/>
      <c r="G67" s="113" t="str">
        <f>IF(Tabela3[[#This Row],[Valor]]="","",G66+F67)</f>
        <v/>
      </c>
      <c r="H67" s="121"/>
      <c r="I67" s="120"/>
      <c r="K67" s="120"/>
      <c r="L67" s="120"/>
      <c r="M67" s="111">
        <f>SUMIF($C$8:$C$1000,Tabela4[[#This Row],[Descrição]],$F$8:$F$1000)</f>
        <v>0</v>
      </c>
      <c r="N67" s="111">
        <f>SUMIFS($F$8:$F$1000,$A$8:$A$1000,$H$4,$C$8:$C$1000,Tabela4[[#This Row],[Descrição]])</f>
        <v>0</v>
      </c>
    </row>
    <row r="68" spans="1:14" x14ac:dyDescent="0.25">
      <c r="A68" s="4">
        <f>YEAR(Tabela3[[#This Row],[Data]])</f>
        <v>1900</v>
      </c>
      <c r="B68" s="121"/>
      <c r="C68" s="120"/>
      <c r="D68" s="120"/>
      <c r="E68" s="126" t="str">
        <f>IF(Tabela3[[#This Row],[Descrição]]="","",VLOOKUP(Tabela3[[#This Row],[Descrição]],Tabela4[[Descrição]:[Tipo Receita/ Gasto]],2,FALSE))</f>
        <v/>
      </c>
      <c r="F68" s="122"/>
      <c r="G68" s="113" t="str">
        <f>IF(Tabela3[[#This Row],[Valor]]="","",G67+F68)</f>
        <v/>
      </c>
      <c r="H68" s="121"/>
      <c r="I68" s="120"/>
      <c r="K68" s="120"/>
      <c r="L68" s="120"/>
      <c r="M68" s="111">
        <f>SUMIF($C$8:$C$1000,Tabela4[[#This Row],[Descrição]],$F$8:$F$1000)</f>
        <v>0</v>
      </c>
      <c r="N68" s="111">
        <f>SUMIFS($F$8:$F$1000,$A$8:$A$1000,$H$4,$C$8:$C$1000,Tabela4[[#This Row],[Descrição]])</f>
        <v>0</v>
      </c>
    </row>
    <row r="69" spans="1:14" x14ac:dyDescent="0.25">
      <c r="A69" s="4">
        <f>YEAR(Tabela3[[#This Row],[Data]])</f>
        <v>1900</v>
      </c>
      <c r="B69" s="121"/>
      <c r="C69" s="120"/>
      <c r="D69" s="120"/>
      <c r="E69" s="126" t="str">
        <f>IF(Tabela3[[#This Row],[Descrição]]="","",VLOOKUP(Tabela3[[#This Row],[Descrição]],Tabela4[[Descrição]:[Tipo Receita/ Gasto]],2,FALSE))</f>
        <v/>
      </c>
      <c r="F69" s="122"/>
      <c r="G69" s="113" t="str">
        <f>IF(Tabela3[[#This Row],[Valor]]="","",G68+F69)</f>
        <v/>
      </c>
      <c r="H69" s="121"/>
      <c r="I69" s="120"/>
      <c r="K69" s="120"/>
      <c r="L69" s="120"/>
      <c r="M69" s="111">
        <f>SUMIF($C$8:$C$1000,Tabela4[[#This Row],[Descrição]],$F$8:$F$1000)</f>
        <v>0</v>
      </c>
      <c r="N69" s="111">
        <f>SUMIFS($F$8:$F$1000,$A$8:$A$1000,$H$4,$C$8:$C$1000,Tabela4[[#This Row],[Descrição]])</f>
        <v>0</v>
      </c>
    </row>
    <row r="70" spans="1:14" x14ac:dyDescent="0.25">
      <c r="A70" s="4">
        <f>YEAR(Tabela3[[#This Row],[Data]])</f>
        <v>1900</v>
      </c>
      <c r="B70" s="121"/>
      <c r="C70" s="120"/>
      <c r="D70" s="120"/>
      <c r="E70" s="126" t="str">
        <f>IF(Tabela3[[#This Row],[Descrição]]="","",VLOOKUP(Tabela3[[#This Row],[Descrição]],Tabela4[[Descrição]:[Tipo Receita/ Gasto]],2,FALSE))</f>
        <v/>
      </c>
      <c r="F70" s="122"/>
      <c r="G70" s="113" t="str">
        <f>IF(Tabela3[[#This Row],[Valor]]="","",G69+F70)</f>
        <v/>
      </c>
      <c r="H70" s="121"/>
      <c r="I70" s="120"/>
      <c r="K70" s="120"/>
      <c r="L70" s="120"/>
      <c r="M70" s="111">
        <f>SUMIF($C$8:$C$1000,Tabela4[[#This Row],[Descrição]],$F$8:$F$1000)</f>
        <v>0</v>
      </c>
      <c r="N70" s="111">
        <f>SUMIFS($F$8:$F$1000,$A$8:$A$1000,$H$4,$C$8:$C$1000,Tabela4[[#This Row],[Descrição]])</f>
        <v>0</v>
      </c>
    </row>
    <row r="71" spans="1:14" x14ac:dyDescent="0.25">
      <c r="A71" s="4">
        <f>YEAR(Tabela3[[#This Row],[Data]])</f>
        <v>1900</v>
      </c>
      <c r="B71" s="121"/>
      <c r="C71" s="120"/>
      <c r="D71" s="120"/>
      <c r="E71" s="126" t="str">
        <f>IF(Tabela3[[#This Row],[Descrição]]="","",VLOOKUP(Tabela3[[#This Row],[Descrição]],Tabela4[[Descrição]:[Tipo Receita/ Gasto]],2,FALSE))</f>
        <v/>
      </c>
      <c r="F71" s="122"/>
      <c r="G71" s="113" t="str">
        <f>IF(Tabela3[[#This Row],[Valor]]="","",G70+F71)</f>
        <v/>
      </c>
      <c r="H71" s="121"/>
      <c r="I71" s="120"/>
      <c r="K71" t="s">
        <v>90</v>
      </c>
      <c r="L71" s="120"/>
      <c r="M71" s="128">
        <f>SUBTOTAL(109,Tabela4[Total Acumulado])</f>
        <v>0</v>
      </c>
      <c r="N71" s="111">
        <f>SUBTOTAL(109,Tabela4[Ano Seleccionado (H4)])</f>
        <v>0</v>
      </c>
    </row>
    <row r="72" spans="1:14" x14ac:dyDescent="0.25">
      <c r="A72" s="4">
        <f>YEAR(Tabela3[[#This Row],[Data]])</f>
        <v>1900</v>
      </c>
      <c r="B72" s="121"/>
      <c r="C72" s="120"/>
      <c r="D72" s="120"/>
      <c r="E72" s="126" t="str">
        <f>IF(Tabela3[[#This Row],[Descrição]]="","",VLOOKUP(Tabela3[[#This Row],[Descrição]],Tabela4[[Descrição]:[Tipo Receita/ Gasto]],2,FALSE))</f>
        <v/>
      </c>
      <c r="F72" s="122"/>
      <c r="G72" s="113" t="str">
        <f>IF(Tabela3[[#This Row],[Valor]]="","",G71+F72)</f>
        <v/>
      </c>
      <c r="H72" s="121"/>
      <c r="I72" s="120"/>
    </row>
    <row r="73" spans="1:14" ht="15.75" x14ac:dyDescent="0.25">
      <c r="A73" s="4">
        <f>YEAR(Tabela3[[#This Row],[Data]])</f>
        <v>1900</v>
      </c>
      <c r="B73" s="121"/>
      <c r="C73" s="120"/>
      <c r="D73" s="120"/>
      <c r="E73" s="126" t="str">
        <f>IF(Tabela3[[#This Row],[Descrição]]="","",VLOOKUP(Tabela3[[#This Row],[Descrição]],Tabela4[[Descrição]:[Tipo Receita/ Gasto]],2,FALSE))</f>
        <v/>
      </c>
      <c r="F73" s="122"/>
      <c r="G73" s="113" t="str">
        <f>IF(Tabela3[[#This Row],[Valor]]="","",G72+F73)</f>
        <v/>
      </c>
      <c r="H73" s="121"/>
      <c r="I73" s="120"/>
      <c r="K73" s="205" t="s">
        <v>244</v>
      </c>
      <c r="L73" s="205"/>
      <c r="M73" s="205"/>
      <c r="N73" s="205"/>
    </row>
    <row r="74" spans="1:14" ht="15.75" thickBot="1" x14ac:dyDescent="0.3">
      <c r="A74" s="4">
        <f>YEAR(Tabela3[[#This Row],[Data]])</f>
        <v>1900</v>
      </c>
      <c r="B74" s="121"/>
      <c r="C74" s="120"/>
      <c r="D74" s="120"/>
      <c r="E74" s="126" t="str">
        <f>IF(Tabela3[[#This Row],[Descrição]]="","",VLOOKUP(Tabela3[[#This Row],[Descrição]],Tabela4[[Descrição]:[Tipo Receita/ Gasto]],2,FALSE))</f>
        <v/>
      </c>
      <c r="F74" s="122"/>
      <c r="G74" s="113" t="str">
        <f>IF(Tabela3[[#This Row],[Valor]]="","",G73+F74)</f>
        <v/>
      </c>
      <c r="H74" s="121"/>
      <c r="I74" s="120"/>
      <c r="K74" s="114" t="s">
        <v>88</v>
      </c>
    </row>
    <row r="75" spans="1:14" ht="15.75" thickTop="1" x14ac:dyDescent="0.25">
      <c r="A75" s="4">
        <f>YEAR(Tabela3[[#This Row],[Data]])</f>
        <v>1900</v>
      </c>
      <c r="B75" s="121"/>
      <c r="C75" s="120"/>
      <c r="D75" s="120"/>
      <c r="E75" s="126" t="str">
        <f>IF(Tabela3[[#This Row],[Descrição]]="","",VLOOKUP(Tabela3[[#This Row],[Descrição]],Tabela4[[Descrição]:[Tipo Receita/ Gasto]],2,FALSE))</f>
        <v/>
      </c>
      <c r="F75" s="122"/>
      <c r="G75" s="113" t="str">
        <f>IF(Tabela3[[#This Row],[Valor]]="","",G74+F75)</f>
        <v/>
      </c>
      <c r="H75" s="121"/>
      <c r="I75" s="120"/>
      <c r="K75" s="2" t="s">
        <v>227</v>
      </c>
    </row>
    <row r="76" spans="1:14" x14ac:dyDescent="0.25">
      <c r="A76" s="4">
        <f>YEAR(Tabela3[[#This Row],[Data]])</f>
        <v>1900</v>
      </c>
      <c r="B76" s="121"/>
      <c r="C76" s="120"/>
      <c r="D76" s="120"/>
      <c r="E76" s="126" t="str">
        <f>IF(Tabela3[[#This Row],[Descrição]]="","",VLOOKUP(Tabela3[[#This Row],[Descrição]],Tabela4[[Descrição]:[Tipo Receita/ Gasto]],2,FALSE))</f>
        <v/>
      </c>
      <c r="F76" s="122"/>
      <c r="G76" s="113" t="str">
        <f>IF(Tabela3[[#This Row],[Valor]]="","",G75+F76)</f>
        <v/>
      </c>
      <c r="H76" s="121"/>
      <c r="I76" s="120"/>
      <c r="K76" s="2" t="s">
        <v>225</v>
      </c>
    </row>
    <row r="77" spans="1:14" x14ac:dyDescent="0.25">
      <c r="A77" s="4">
        <f>YEAR(Tabela3[[#This Row],[Data]])</f>
        <v>1900</v>
      </c>
      <c r="B77" s="121"/>
      <c r="C77" s="120"/>
      <c r="D77" s="120"/>
      <c r="E77" s="126" t="str">
        <f>IF(Tabela3[[#This Row],[Descrição]]="","",VLOOKUP(Tabela3[[#This Row],[Descrição]],Tabela4[[Descrição]:[Tipo Receita/ Gasto]],2,FALSE))</f>
        <v/>
      </c>
      <c r="F77" s="122"/>
      <c r="G77" s="113" t="str">
        <f>IF(Tabela3[[#This Row],[Valor]]="","",G76+F77)</f>
        <v/>
      </c>
      <c r="H77" s="121"/>
      <c r="I77" s="120"/>
      <c r="K77" s="2" t="s">
        <v>221</v>
      </c>
    </row>
    <row r="78" spans="1:14" x14ac:dyDescent="0.25">
      <c r="A78" s="4">
        <f>YEAR(Tabela3[[#This Row],[Data]])</f>
        <v>1900</v>
      </c>
      <c r="B78" s="121"/>
      <c r="C78" s="120"/>
      <c r="D78" s="120"/>
      <c r="E78" s="126" t="str">
        <f>IF(Tabela3[[#This Row],[Descrição]]="","",VLOOKUP(Tabela3[[#This Row],[Descrição]],Tabela4[[Descrição]:[Tipo Receita/ Gasto]],2,FALSE))</f>
        <v/>
      </c>
      <c r="F78" s="122"/>
      <c r="G78" s="113" t="str">
        <f>IF(Tabela3[[#This Row],[Valor]]="","",G77+F78)</f>
        <v/>
      </c>
      <c r="H78" s="121"/>
      <c r="I78" s="120"/>
      <c r="K78" s="2" t="s">
        <v>40</v>
      </c>
    </row>
    <row r="79" spans="1:14" x14ac:dyDescent="0.25">
      <c r="A79" s="4">
        <f>YEAR(Tabela3[[#This Row],[Data]])</f>
        <v>1900</v>
      </c>
      <c r="B79" s="121"/>
      <c r="C79" s="120"/>
      <c r="D79" s="120"/>
      <c r="E79" s="126" t="str">
        <f>IF(Tabela3[[#This Row],[Descrição]]="","",VLOOKUP(Tabela3[[#This Row],[Descrição]],Tabela4[[Descrição]:[Tipo Receita/ Gasto]],2,FALSE))</f>
        <v/>
      </c>
      <c r="F79" s="122"/>
      <c r="G79" s="113" t="str">
        <f>IF(Tabela3[[#This Row],[Valor]]="","",G78+F79)</f>
        <v/>
      </c>
      <c r="H79" s="121"/>
      <c r="I79" s="120"/>
      <c r="K79" s="2" t="s">
        <v>209</v>
      </c>
    </row>
    <row r="80" spans="1:14" x14ac:dyDescent="0.25">
      <c r="A80" s="4">
        <f>YEAR(Tabela3[[#This Row],[Data]])</f>
        <v>1900</v>
      </c>
      <c r="B80" s="121"/>
      <c r="C80" s="120"/>
      <c r="D80" s="120"/>
      <c r="E80" s="126" t="str">
        <f>IF(Tabela3[[#This Row],[Descrição]]="","",VLOOKUP(Tabela3[[#This Row],[Descrição]],Tabela4[[Descrição]:[Tipo Receita/ Gasto]],2,FALSE))</f>
        <v/>
      </c>
      <c r="F80" s="122"/>
      <c r="G80" s="113" t="str">
        <f>IF(Tabela3[[#This Row],[Valor]]="","",G79+F80)</f>
        <v/>
      </c>
      <c r="H80" s="121"/>
      <c r="I80" s="120"/>
      <c r="K80" s="2" t="s">
        <v>41</v>
      </c>
    </row>
    <row r="81" spans="1:11" x14ac:dyDescent="0.25">
      <c r="A81" s="4">
        <f>YEAR(Tabela3[[#This Row],[Data]])</f>
        <v>1900</v>
      </c>
      <c r="B81" s="121"/>
      <c r="C81" s="120"/>
      <c r="D81" s="120"/>
      <c r="E81" s="126" t="str">
        <f>IF(Tabela3[[#This Row],[Descrição]]="","",VLOOKUP(Tabela3[[#This Row],[Descrição]],Tabela4[[Descrição]:[Tipo Receita/ Gasto]],2,FALSE))</f>
        <v/>
      </c>
      <c r="F81" s="122"/>
      <c r="G81" s="113" t="str">
        <f>IF(Tabela3[[#This Row],[Valor]]="","",G80+F81)</f>
        <v/>
      </c>
      <c r="H81" s="121"/>
      <c r="I81" s="120"/>
      <c r="K81" s="2" t="s">
        <v>210</v>
      </c>
    </row>
    <row r="82" spans="1:11" x14ac:dyDescent="0.25">
      <c r="A82" s="4">
        <f>YEAR(Tabela3[[#This Row],[Data]])</f>
        <v>1900</v>
      </c>
      <c r="B82" s="121"/>
      <c r="C82" s="120"/>
      <c r="D82" s="120"/>
      <c r="E82" s="126" t="str">
        <f>IF(Tabela3[[#This Row],[Descrição]]="","",VLOOKUP(Tabela3[[#This Row],[Descrição]],Tabela4[[Descrição]:[Tipo Receita/ Gasto]],2,FALSE))</f>
        <v/>
      </c>
      <c r="F82" s="122"/>
      <c r="G82" s="113" t="str">
        <f>IF(Tabela3[[#This Row],[Valor]]="","",G81+F82)</f>
        <v/>
      </c>
      <c r="H82" s="121"/>
      <c r="I82" s="120"/>
      <c r="K82" s="2" t="s">
        <v>42</v>
      </c>
    </row>
    <row r="83" spans="1:11" x14ac:dyDescent="0.25">
      <c r="A83" s="4">
        <f>YEAR(Tabela3[[#This Row],[Data]])</f>
        <v>1900</v>
      </c>
      <c r="B83" s="121"/>
      <c r="C83" s="120"/>
      <c r="D83" s="120"/>
      <c r="E83" s="126" t="str">
        <f>IF(Tabela3[[#This Row],[Descrição]]="","",VLOOKUP(Tabela3[[#This Row],[Descrição]],Tabela4[[Descrição]:[Tipo Receita/ Gasto]],2,FALSE))</f>
        <v/>
      </c>
      <c r="F83" s="122"/>
      <c r="G83" s="113" t="str">
        <f>IF(Tabela3[[#This Row],[Valor]]="","",G82+F83)</f>
        <v/>
      </c>
      <c r="H83" s="121"/>
      <c r="I83" s="120"/>
      <c r="K83" s="2" t="s">
        <v>222</v>
      </c>
    </row>
    <row r="84" spans="1:11" x14ac:dyDescent="0.25">
      <c r="A84" s="4">
        <f>YEAR(Tabela3[[#This Row],[Data]])</f>
        <v>1900</v>
      </c>
      <c r="B84" s="121"/>
      <c r="C84" s="120"/>
      <c r="D84" s="120"/>
      <c r="E84" s="126" t="str">
        <f>IF(Tabela3[[#This Row],[Descrição]]="","",VLOOKUP(Tabela3[[#This Row],[Descrição]],Tabela4[[Descrição]:[Tipo Receita/ Gasto]],2,FALSE))</f>
        <v/>
      </c>
      <c r="F84" s="122"/>
      <c r="G84" s="113" t="str">
        <f>IF(Tabela3[[#This Row],[Valor]]="","",G83+F84)</f>
        <v/>
      </c>
      <c r="H84" s="121"/>
      <c r="I84" s="120"/>
      <c r="K84" s="2" t="s">
        <v>211</v>
      </c>
    </row>
    <row r="85" spans="1:11" x14ac:dyDescent="0.25">
      <c r="A85" s="4">
        <f>YEAR(Tabela3[[#This Row],[Data]])</f>
        <v>1900</v>
      </c>
      <c r="B85" s="121"/>
      <c r="C85" s="120"/>
      <c r="D85" s="120"/>
      <c r="E85" s="126" t="str">
        <f>IF(Tabela3[[#This Row],[Descrição]]="","",VLOOKUP(Tabela3[[#This Row],[Descrição]],Tabela4[[Descrição]:[Tipo Receita/ Gasto]],2,FALSE))</f>
        <v/>
      </c>
      <c r="F85" s="122"/>
      <c r="G85" s="113" t="str">
        <f>IF(Tabela3[[#This Row],[Valor]]="","",G84+F85)</f>
        <v/>
      </c>
      <c r="H85" s="121"/>
      <c r="I85" s="120"/>
      <c r="K85" s="2" t="s">
        <v>43</v>
      </c>
    </row>
    <row r="86" spans="1:11" x14ac:dyDescent="0.25">
      <c r="A86" s="4">
        <f>YEAR(Tabela3[[#This Row],[Data]])</f>
        <v>1900</v>
      </c>
      <c r="B86" s="121"/>
      <c r="C86" s="120"/>
      <c r="D86" s="120"/>
      <c r="E86" s="126" t="str">
        <f>IF(Tabela3[[#This Row],[Descrição]]="","",VLOOKUP(Tabela3[[#This Row],[Descrição]],Tabela4[[Descrição]:[Tipo Receita/ Gasto]],2,FALSE))</f>
        <v/>
      </c>
      <c r="F86" s="122"/>
      <c r="G86" s="113" t="str">
        <f>IF(Tabela3[[#This Row],[Valor]]="","",G85+F86)</f>
        <v/>
      </c>
      <c r="H86" s="121"/>
      <c r="I86" s="120"/>
      <c r="K86" s="2" t="s">
        <v>212</v>
      </c>
    </row>
    <row r="87" spans="1:11" x14ac:dyDescent="0.25">
      <c r="A87" s="4">
        <f>YEAR(Tabela3[[#This Row],[Data]])</f>
        <v>1900</v>
      </c>
      <c r="B87" s="121"/>
      <c r="C87" s="120"/>
      <c r="D87" s="120"/>
      <c r="E87" s="126" t="str">
        <f>IF(Tabela3[[#This Row],[Descrição]]="","",VLOOKUP(Tabela3[[#This Row],[Descrição]],Tabela4[[Descrição]:[Tipo Receita/ Gasto]],2,FALSE))</f>
        <v/>
      </c>
      <c r="F87" s="122"/>
      <c r="G87" s="113" t="str">
        <f>IF(Tabela3[[#This Row],[Valor]]="","",G86+F87)</f>
        <v/>
      </c>
      <c r="H87" s="121"/>
      <c r="I87" s="120"/>
      <c r="K87" s="2" t="s">
        <v>44</v>
      </c>
    </row>
    <row r="88" spans="1:11" x14ac:dyDescent="0.25">
      <c r="A88" s="4">
        <f>YEAR(Tabela3[[#This Row],[Data]])</f>
        <v>1900</v>
      </c>
      <c r="B88" s="121"/>
      <c r="C88" s="120"/>
      <c r="D88" s="120"/>
      <c r="E88" s="126" t="str">
        <f>IF(Tabela3[[#This Row],[Descrição]]="","",VLOOKUP(Tabela3[[#This Row],[Descrição]],Tabela4[[Descrição]:[Tipo Receita/ Gasto]],2,FALSE))</f>
        <v/>
      </c>
      <c r="F88" s="122"/>
      <c r="G88" s="113" t="str">
        <f>IF(Tabela3[[#This Row],[Valor]]="","",G87+F88)</f>
        <v/>
      </c>
      <c r="H88" s="121"/>
      <c r="I88" s="120"/>
      <c r="K88" s="2" t="s">
        <v>213</v>
      </c>
    </row>
    <row r="89" spans="1:11" x14ac:dyDescent="0.25">
      <c r="A89" s="4">
        <f>YEAR(Tabela3[[#This Row],[Data]])</f>
        <v>1900</v>
      </c>
      <c r="B89" s="121"/>
      <c r="C89" s="120"/>
      <c r="D89" s="120"/>
      <c r="E89" s="126" t="str">
        <f>IF(Tabela3[[#This Row],[Descrição]]="","",VLOOKUP(Tabela3[[#This Row],[Descrição]],Tabela4[[Descrição]:[Tipo Receita/ Gasto]],2,FALSE))</f>
        <v/>
      </c>
      <c r="F89" s="122"/>
      <c r="G89" s="113" t="str">
        <f>IF(Tabela3[[#This Row],[Valor]]="","",G88+F89)</f>
        <v/>
      </c>
      <c r="H89" s="121"/>
      <c r="I89" s="120"/>
      <c r="K89" t="s">
        <v>45</v>
      </c>
    </row>
    <row r="90" spans="1:11" x14ac:dyDescent="0.25">
      <c r="A90" s="4">
        <f>YEAR(Tabela3[[#This Row],[Data]])</f>
        <v>1900</v>
      </c>
      <c r="B90" s="121"/>
      <c r="C90" s="120"/>
      <c r="D90" s="120"/>
      <c r="E90" s="126" t="str">
        <f>IF(Tabela3[[#This Row],[Descrição]]="","",VLOOKUP(Tabela3[[#This Row],[Descrição]],Tabela4[[Descrição]:[Tipo Receita/ Gasto]],2,FALSE))</f>
        <v/>
      </c>
      <c r="F90" s="122"/>
      <c r="G90" s="113" t="str">
        <f>IF(Tabela3[[#This Row],[Valor]]="","",G89+F90)</f>
        <v/>
      </c>
      <c r="H90" s="121"/>
      <c r="I90" s="120"/>
      <c r="K90" t="s">
        <v>226</v>
      </c>
    </row>
    <row r="91" spans="1:11" x14ac:dyDescent="0.25">
      <c r="A91" s="4">
        <f>YEAR(Tabela3[[#This Row],[Data]])</f>
        <v>1900</v>
      </c>
      <c r="B91" s="121"/>
      <c r="C91" s="120"/>
      <c r="D91" s="120"/>
      <c r="E91" s="126" t="str">
        <f>IF(Tabela3[[#This Row],[Descrição]]="","",VLOOKUP(Tabela3[[#This Row],[Descrição]],Tabela4[[Descrição]:[Tipo Receita/ Gasto]],2,FALSE))</f>
        <v/>
      </c>
      <c r="F91" s="122"/>
      <c r="G91" s="113" t="str">
        <f>IF(Tabela3[[#This Row],[Valor]]="","",G90+F91)</f>
        <v/>
      </c>
      <c r="H91" s="121"/>
      <c r="I91" s="120"/>
      <c r="K91" t="s">
        <v>223</v>
      </c>
    </row>
    <row r="92" spans="1:11" x14ac:dyDescent="0.25">
      <c r="A92" s="4">
        <f>YEAR(Tabela3[[#This Row],[Data]])</f>
        <v>1900</v>
      </c>
      <c r="B92" s="121"/>
      <c r="C92" s="120"/>
      <c r="D92" s="120"/>
      <c r="E92" s="126" t="str">
        <f>IF(Tabela3[[#This Row],[Descrição]]="","",VLOOKUP(Tabela3[[#This Row],[Descrição]],Tabela4[[Descrição]:[Tipo Receita/ Gasto]],2,FALSE))</f>
        <v/>
      </c>
      <c r="F92" s="122"/>
      <c r="G92" s="113" t="str">
        <f>IF(Tabela3[[#This Row],[Valor]]="","",G91+F92)</f>
        <v/>
      </c>
      <c r="H92" s="121"/>
      <c r="I92" s="120"/>
      <c r="K92" t="s">
        <v>214</v>
      </c>
    </row>
    <row r="93" spans="1:11" x14ac:dyDescent="0.25">
      <c r="A93" s="4">
        <f>YEAR(Tabela3[[#This Row],[Data]])</f>
        <v>1900</v>
      </c>
      <c r="B93" s="121"/>
      <c r="C93" s="120"/>
      <c r="D93" s="120"/>
      <c r="E93" s="126" t="str">
        <f>IF(Tabela3[[#This Row],[Descrição]]="","",VLOOKUP(Tabela3[[#This Row],[Descrição]],Tabela4[[Descrição]:[Tipo Receita/ Gasto]],2,FALSE))</f>
        <v/>
      </c>
      <c r="F93" s="122"/>
      <c r="G93" s="113" t="str">
        <f>IF(Tabela3[[#This Row],[Valor]]="","",G92+F93)</f>
        <v/>
      </c>
      <c r="H93" s="121"/>
      <c r="I93" s="120"/>
      <c r="K93" t="s">
        <v>46</v>
      </c>
    </row>
    <row r="94" spans="1:11" x14ac:dyDescent="0.25">
      <c r="A94" s="4">
        <f>YEAR(Tabela3[[#This Row],[Data]])</f>
        <v>1900</v>
      </c>
      <c r="B94" s="121"/>
      <c r="C94" s="120"/>
      <c r="D94" s="120"/>
      <c r="E94" s="126" t="str">
        <f>IF(Tabela3[[#This Row],[Descrição]]="","",VLOOKUP(Tabela3[[#This Row],[Descrição]],Tabela4[[Descrição]:[Tipo Receita/ Gasto]],2,FALSE))</f>
        <v/>
      </c>
      <c r="F94" s="122"/>
      <c r="G94" s="113" t="str">
        <f>IF(Tabela3[[#This Row],[Valor]]="","",G93+F94)</f>
        <v/>
      </c>
      <c r="H94" s="121"/>
      <c r="I94" s="120"/>
      <c r="K94" t="s">
        <v>215</v>
      </c>
    </row>
    <row r="95" spans="1:11" x14ac:dyDescent="0.25">
      <c r="A95" s="4">
        <f>YEAR(Tabela3[[#This Row],[Data]])</f>
        <v>1900</v>
      </c>
      <c r="B95" s="121"/>
      <c r="C95" s="120"/>
      <c r="D95" s="120"/>
      <c r="E95" s="126" t="str">
        <f>IF(Tabela3[[#This Row],[Descrição]]="","",VLOOKUP(Tabela3[[#This Row],[Descrição]],Tabela4[[Descrição]:[Tipo Receita/ Gasto]],2,FALSE))</f>
        <v/>
      </c>
      <c r="F95" s="122"/>
      <c r="G95" s="113" t="str">
        <f>IF(Tabela3[[#This Row],[Valor]]="","",G94+F95)</f>
        <v/>
      </c>
      <c r="H95" s="121"/>
      <c r="I95" s="120"/>
      <c r="K95" t="s">
        <v>47</v>
      </c>
    </row>
    <row r="96" spans="1:11" x14ac:dyDescent="0.25">
      <c r="A96" s="4">
        <f>YEAR(Tabela3[[#This Row],[Data]])</f>
        <v>1900</v>
      </c>
      <c r="B96" s="121"/>
      <c r="C96" s="120"/>
      <c r="D96" s="120"/>
      <c r="E96" s="126" t="str">
        <f>IF(Tabela3[[#This Row],[Descrição]]="","",VLOOKUP(Tabela3[[#This Row],[Descrição]],Tabela4[[Descrição]:[Tipo Receita/ Gasto]],2,FALSE))</f>
        <v/>
      </c>
      <c r="F96" s="122"/>
      <c r="G96" s="113" t="str">
        <f>IF(Tabela3[[#This Row],[Valor]]="","",G95+F96)</f>
        <v/>
      </c>
      <c r="H96" s="121"/>
      <c r="I96" s="120"/>
      <c r="K96" t="s">
        <v>216</v>
      </c>
    </row>
    <row r="97" spans="1:11" x14ac:dyDescent="0.25">
      <c r="A97" s="4">
        <f>YEAR(Tabela3[[#This Row],[Data]])</f>
        <v>1900</v>
      </c>
      <c r="B97" s="121"/>
      <c r="C97" s="120"/>
      <c r="D97" s="120"/>
      <c r="E97" s="126" t="str">
        <f>IF(Tabela3[[#This Row],[Descrição]]="","",VLOOKUP(Tabela3[[#This Row],[Descrição]],Tabela4[[Descrição]:[Tipo Receita/ Gasto]],2,FALSE))</f>
        <v/>
      </c>
      <c r="F97" s="122"/>
      <c r="G97" s="113" t="str">
        <f>IF(Tabela3[[#This Row],[Valor]]="","",G96+F97)</f>
        <v/>
      </c>
      <c r="H97" s="121"/>
      <c r="I97" s="120"/>
      <c r="K97" t="s">
        <v>48</v>
      </c>
    </row>
    <row r="98" spans="1:11" x14ac:dyDescent="0.25">
      <c r="A98" s="4">
        <f>YEAR(Tabela3[[#This Row],[Data]])</f>
        <v>1900</v>
      </c>
      <c r="B98" s="121"/>
      <c r="C98" s="120"/>
      <c r="D98" s="120"/>
      <c r="E98" s="126" t="str">
        <f>IF(Tabela3[[#This Row],[Descrição]]="","",VLOOKUP(Tabela3[[#This Row],[Descrição]],Tabela4[[Descrição]:[Tipo Receita/ Gasto]],2,FALSE))</f>
        <v/>
      </c>
      <c r="F98" s="122"/>
      <c r="G98" s="113" t="str">
        <f>IF(Tabela3[[#This Row],[Valor]]="","",G97+F98)</f>
        <v/>
      </c>
      <c r="H98" s="121"/>
      <c r="I98" s="120"/>
      <c r="K98" t="s">
        <v>224</v>
      </c>
    </row>
    <row r="99" spans="1:11" x14ac:dyDescent="0.25">
      <c r="A99" s="4">
        <f>YEAR(Tabela3[[#This Row],[Data]])</f>
        <v>1900</v>
      </c>
      <c r="B99" s="121"/>
      <c r="C99" s="120"/>
      <c r="D99" s="120"/>
      <c r="E99" s="126" t="str">
        <f>IF(Tabela3[[#This Row],[Descrição]]="","",VLOOKUP(Tabela3[[#This Row],[Descrição]],Tabela4[[Descrição]:[Tipo Receita/ Gasto]],2,FALSE))</f>
        <v/>
      </c>
      <c r="F99" s="122"/>
      <c r="G99" s="113" t="str">
        <f>IF(Tabela3[[#This Row],[Valor]]="","",G98+F99)</f>
        <v/>
      </c>
      <c r="H99" s="121"/>
      <c r="I99" s="120"/>
      <c r="K99" t="s">
        <v>217</v>
      </c>
    </row>
    <row r="100" spans="1:11" x14ac:dyDescent="0.25">
      <c r="A100" s="4">
        <f>YEAR(Tabela3[[#This Row],[Data]])</f>
        <v>1900</v>
      </c>
      <c r="B100" s="121"/>
      <c r="C100" s="120"/>
      <c r="D100" s="120"/>
      <c r="E100" s="126" t="str">
        <f>IF(Tabela3[[#This Row],[Descrição]]="","",VLOOKUP(Tabela3[[#This Row],[Descrição]],Tabela4[[Descrição]:[Tipo Receita/ Gasto]],2,FALSE))</f>
        <v/>
      </c>
      <c r="F100" s="122"/>
      <c r="G100" s="113" t="str">
        <f>IF(Tabela3[[#This Row],[Valor]]="","",G99+F100)</f>
        <v/>
      </c>
      <c r="H100" s="121"/>
      <c r="I100" s="120"/>
      <c r="K100" t="s">
        <v>49</v>
      </c>
    </row>
    <row r="101" spans="1:11" x14ac:dyDescent="0.25">
      <c r="A101" s="4">
        <f>YEAR(Tabela3[[#This Row],[Data]])</f>
        <v>1900</v>
      </c>
      <c r="B101" s="121"/>
      <c r="C101" s="120"/>
      <c r="D101" s="120"/>
      <c r="E101" s="126" t="str">
        <f>IF(Tabela3[[#This Row],[Descrição]]="","",VLOOKUP(Tabela3[[#This Row],[Descrição]],Tabela4[[Descrição]:[Tipo Receita/ Gasto]],2,FALSE))</f>
        <v/>
      </c>
      <c r="F101" s="122"/>
      <c r="G101" s="113" t="str">
        <f>IF(Tabela3[[#This Row],[Valor]]="","",G100+F101)</f>
        <v/>
      </c>
      <c r="H101" s="121"/>
      <c r="I101" s="120"/>
      <c r="K101" t="s">
        <v>218</v>
      </c>
    </row>
    <row r="102" spans="1:11" x14ac:dyDescent="0.25">
      <c r="A102" s="4">
        <f>YEAR(Tabela3[[#This Row],[Data]])</f>
        <v>1900</v>
      </c>
      <c r="B102" s="121"/>
      <c r="C102" s="120"/>
      <c r="D102" s="120"/>
      <c r="E102" s="126" t="str">
        <f>IF(Tabela3[[#This Row],[Descrição]]="","",VLOOKUP(Tabela3[[#This Row],[Descrição]],Tabela4[[Descrição]:[Tipo Receita/ Gasto]],2,FALSE))</f>
        <v/>
      </c>
      <c r="F102" s="122"/>
      <c r="G102" s="113" t="str">
        <f>IF(Tabela3[[#This Row],[Valor]]="","",G101+F102)</f>
        <v/>
      </c>
      <c r="H102" s="121"/>
      <c r="I102" s="120"/>
      <c r="K102" t="s">
        <v>50</v>
      </c>
    </row>
    <row r="103" spans="1:11" x14ac:dyDescent="0.25">
      <c r="A103" s="4">
        <f>YEAR(Tabela3[[#This Row],[Data]])</f>
        <v>1900</v>
      </c>
      <c r="B103" s="121"/>
      <c r="C103" s="120"/>
      <c r="D103" s="120"/>
      <c r="E103" s="126" t="str">
        <f>IF(Tabela3[[#This Row],[Descrição]]="","",VLOOKUP(Tabela3[[#This Row],[Descrição]],Tabela4[[Descrição]:[Tipo Receita/ Gasto]],2,FALSE))</f>
        <v/>
      </c>
      <c r="F103" s="122"/>
      <c r="G103" s="113" t="str">
        <f>IF(Tabela3[[#This Row],[Valor]]="","",G102+F103)</f>
        <v/>
      </c>
      <c r="H103" s="121"/>
      <c r="I103" s="120"/>
      <c r="K103" t="s">
        <v>219</v>
      </c>
    </row>
    <row r="104" spans="1:11" x14ac:dyDescent="0.25">
      <c r="A104" s="4">
        <f>YEAR(Tabela3[[#This Row],[Data]])</f>
        <v>1900</v>
      </c>
      <c r="B104" s="121"/>
      <c r="C104" s="120"/>
      <c r="D104" s="120"/>
      <c r="E104" s="126" t="str">
        <f>IF(Tabela3[[#This Row],[Descrição]]="","",VLOOKUP(Tabela3[[#This Row],[Descrição]],Tabela4[[Descrição]:[Tipo Receita/ Gasto]],2,FALSE))</f>
        <v/>
      </c>
      <c r="F104" s="122"/>
      <c r="G104" s="113" t="str">
        <f>IF(Tabela3[[#This Row],[Valor]]="","",G103+F104)</f>
        <v/>
      </c>
      <c r="H104" s="121"/>
      <c r="I104" s="120"/>
      <c r="K104" t="s">
        <v>51</v>
      </c>
    </row>
    <row r="105" spans="1:11" x14ac:dyDescent="0.25">
      <c r="A105" s="4">
        <f>YEAR(Tabela3[[#This Row],[Data]])</f>
        <v>1900</v>
      </c>
      <c r="B105" s="121"/>
      <c r="C105" s="120"/>
      <c r="D105" s="120"/>
      <c r="E105" s="126" t="str">
        <f>IF(Tabela3[[#This Row],[Descrição]]="","",VLOOKUP(Tabela3[[#This Row],[Descrição]],Tabela4[[Descrição]:[Tipo Receita/ Gasto]],2,FALSE))</f>
        <v/>
      </c>
      <c r="F105" s="122"/>
      <c r="G105" s="113" t="str">
        <f>IF(Tabela3[[#This Row],[Valor]]="","",G104+F105)</f>
        <v/>
      </c>
      <c r="H105" s="121"/>
      <c r="I105" s="120"/>
      <c r="K105" t="s">
        <v>220</v>
      </c>
    </row>
    <row r="106" spans="1:11" x14ac:dyDescent="0.25">
      <c r="A106" s="4">
        <f>YEAR(Tabela3[[#This Row],[Data]])</f>
        <v>1900</v>
      </c>
      <c r="B106" s="121"/>
      <c r="C106" s="120"/>
      <c r="D106" s="120"/>
      <c r="E106" s="126" t="str">
        <f>IF(Tabela3[[#This Row],[Descrição]]="","",VLOOKUP(Tabela3[[#This Row],[Descrição]],Tabela4[[Descrição]:[Tipo Receita/ Gasto]],2,FALSE))</f>
        <v/>
      </c>
      <c r="F106" s="122"/>
      <c r="G106" s="113" t="str">
        <f>IF(Tabela3[[#This Row],[Valor]]="","",G105+F106)</f>
        <v/>
      </c>
      <c r="H106" s="121"/>
      <c r="I106" s="120"/>
    </row>
    <row r="107" spans="1:11" x14ac:dyDescent="0.25">
      <c r="A107" s="4">
        <f>YEAR(Tabela3[[#This Row],[Data]])</f>
        <v>1900</v>
      </c>
      <c r="B107" s="121"/>
      <c r="C107" s="120"/>
      <c r="D107" s="120"/>
      <c r="E107" s="126" t="str">
        <f>IF(Tabela3[[#This Row],[Descrição]]="","",VLOOKUP(Tabela3[[#This Row],[Descrição]],Tabela4[[Descrição]:[Tipo Receita/ Gasto]],2,FALSE))</f>
        <v/>
      </c>
      <c r="F107" s="122"/>
      <c r="G107" s="113" t="str">
        <f>IF(Tabela3[[#This Row],[Valor]]="","",G106+F107)</f>
        <v/>
      </c>
      <c r="H107" s="121"/>
      <c r="I107" s="120"/>
    </row>
    <row r="108" spans="1:11" x14ac:dyDescent="0.25">
      <c r="A108" s="4">
        <f>YEAR(Tabela3[[#This Row],[Data]])</f>
        <v>1900</v>
      </c>
      <c r="B108" s="121"/>
      <c r="C108" s="120"/>
      <c r="D108" s="120"/>
      <c r="E108" s="126" t="str">
        <f>IF(Tabela3[[#This Row],[Descrição]]="","",VLOOKUP(Tabela3[[#This Row],[Descrição]],Tabela4[[Descrição]:[Tipo Receita/ Gasto]],2,FALSE))</f>
        <v/>
      </c>
      <c r="F108" s="122"/>
      <c r="G108" s="113" t="str">
        <f>IF(Tabela3[[#This Row],[Valor]]="","",G107+F108)</f>
        <v/>
      </c>
      <c r="H108" s="121"/>
      <c r="I108" s="120"/>
    </row>
    <row r="109" spans="1:11" x14ac:dyDescent="0.25">
      <c r="A109" s="4">
        <f>YEAR(Tabela3[[#This Row],[Data]])</f>
        <v>1900</v>
      </c>
      <c r="B109" s="121"/>
      <c r="C109" s="120"/>
      <c r="D109" s="120"/>
      <c r="E109" s="126" t="str">
        <f>IF(Tabela3[[#This Row],[Descrição]]="","",VLOOKUP(Tabela3[[#This Row],[Descrição]],Tabela4[[Descrição]:[Tipo Receita/ Gasto]],2,FALSE))</f>
        <v/>
      </c>
      <c r="F109" s="122"/>
      <c r="G109" s="113" t="str">
        <f>IF(Tabela3[[#This Row],[Valor]]="","",G108+F109)</f>
        <v/>
      </c>
      <c r="H109" s="121"/>
      <c r="I109" s="120"/>
    </row>
    <row r="110" spans="1:11" x14ac:dyDescent="0.25">
      <c r="A110" s="4">
        <f>YEAR(Tabela3[[#This Row],[Data]])</f>
        <v>1900</v>
      </c>
      <c r="B110" s="121"/>
      <c r="C110" s="120"/>
      <c r="D110" s="120"/>
      <c r="E110" s="126" t="str">
        <f>IF(Tabela3[[#This Row],[Descrição]]="","",VLOOKUP(Tabela3[[#This Row],[Descrição]],Tabela4[[Descrição]:[Tipo Receita/ Gasto]],2,FALSE))</f>
        <v/>
      </c>
      <c r="F110" s="122"/>
      <c r="G110" s="113" t="str">
        <f>IF(Tabela3[[#This Row],[Valor]]="","",G109+F110)</f>
        <v/>
      </c>
      <c r="H110" s="121"/>
      <c r="I110" s="120"/>
    </row>
    <row r="111" spans="1:11" x14ac:dyDescent="0.25">
      <c r="A111" s="4">
        <f>YEAR(Tabela3[[#This Row],[Data]])</f>
        <v>1900</v>
      </c>
      <c r="B111" s="121"/>
      <c r="C111" s="120"/>
      <c r="D111" s="120"/>
      <c r="E111" s="126" t="str">
        <f>IF(Tabela3[[#This Row],[Descrição]]="","",VLOOKUP(Tabela3[[#This Row],[Descrição]],Tabela4[[Descrição]:[Tipo Receita/ Gasto]],2,FALSE))</f>
        <v/>
      </c>
      <c r="F111" s="122"/>
      <c r="G111" s="113" t="str">
        <f>IF(Tabela3[[#This Row],[Valor]]="","",G110+F111)</f>
        <v/>
      </c>
      <c r="H111" s="121"/>
      <c r="I111" s="120"/>
    </row>
    <row r="112" spans="1:11" x14ac:dyDescent="0.25">
      <c r="A112" s="4">
        <f>YEAR(Tabela3[[#This Row],[Data]])</f>
        <v>1900</v>
      </c>
      <c r="B112" s="121"/>
      <c r="C112" s="120"/>
      <c r="D112" s="120"/>
      <c r="E112" s="126" t="str">
        <f>IF(Tabela3[[#This Row],[Descrição]]="","",VLOOKUP(Tabela3[[#This Row],[Descrição]],Tabela4[[Descrição]:[Tipo Receita/ Gasto]],2,FALSE))</f>
        <v/>
      </c>
      <c r="F112" s="122"/>
      <c r="G112" s="113" t="str">
        <f>IF(Tabela3[[#This Row],[Valor]]="","",G111+F112)</f>
        <v/>
      </c>
      <c r="H112" s="121"/>
      <c r="I112" s="120"/>
    </row>
    <row r="113" spans="1:9" x14ac:dyDescent="0.25">
      <c r="A113" s="4">
        <f>YEAR(Tabela3[[#This Row],[Data]])</f>
        <v>1900</v>
      </c>
      <c r="B113" s="121"/>
      <c r="C113" s="120"/>
      <c r="D113" s="120"/>
      <c r="E113" s="126" t="str">
        <f>IF(Tabela3[[#This Row],[Descrição]]="","",VLOOKUP(Tabela3[[#This Row],[Descrição]],Tabela4[[Descrição]:[Tipo Receita/ Gasto]],2,FALSE))</f>
        <v/>
      </c>
      <c r="F113" s="122"/>
      <c r="G113" s="113" t="str">
        <f>IF(Tabela3[[#This Row],[Valor]]="","",G112+F113)</f>
        <v/>
      </c>
      <c r="H113" s="121"/>
      <c r="I113" s="120"/>
    </row>
    <row r="114" spans="1:9" x14ac:dyDescent="0.25">
      <c r="A114" s="4">
        <f>YEAR(Tabela3[[#This Row],[Data]])</f>
        <v>1900</v>
      </c>
      <c r="B114" s="121"/>
      <c r="C114" s="120"/>
      <c r="D114" s="120"/>
      <c r="E114" s="126" t="str">
        <f>IF(Tabela3[[#This Row],[Descrição]]="","",VLOOKUP(Tabela3[[#This Row],[Descrição]],Tabela4[[Descrição]:[Tipo Receita/ Gasto]],2,FALSE))</f>
        <v/>
      </c>
      <c r="F114" s="122"/>
      <c r="G114" s="113" t="str">
        <f>IF(Tabela3[[#This Row],[Valor]]="","",G113+F114)</f>
        <v/>
      </c>
      <c r="H114" s="121"/>
      <c r="I114" s="120"/>
    </row>
    <row r="115" spans="1:9" x14ac:dyDescent="0.25">
      <c r="A115" s="4">
        <f>YEAR(Tabela3[[#This Row],[Data]])</f>
        <v>1900</v>
      </c>
      <c r="B115" s="121"/>
      <c r="C115" s="120"/>
      <c r="D115" s="120"/>
      <c r="E115" s="126" t="str">
        <f>IF(Tabela3[[#This Row],[Descrição]]="","",VLOOKUP(Tabela3[[#This Row],[Descrição]],Tabela4[[Descrição]:[Tipo Receita/ Gasto]],2,FALSE))</f>
        <v/>
      </c>
      <c r="F115" s="122"/>
      <c r="G115" s="113" t="str">
        <f>IF(Tabela3[[#This Row],[Valor]]="","",G114+F115)</f>
        <v/>
      </c>
      <c r="H115" s="121"/>
      <c r="I115" s="120"/>
    </row>
    <row r="116" spans="1:9" x14ac:dyDescent="0.25">
      <c r="A116" s="4">
        <f>YEAR(Tabela3[[#This Row],[Data]])</f>
        <v>1900</v>
      </c>
      <c r="B116" s="121"/>
      <c r="C116" s="120"/>
      <c r="D116" s="120"/>
      <c r="E116" s="126" t="str">
        <f>IF(Tabela3[[#This Row],[Descrição]]="","",VLOOKUP(Tabela3[[#This Row],[Descrição]],Tabela4[[Descrição]:[Tipo Receita/ Gasto]],2,FALSE))</f>
        <v/>
      </c>
      <c r="F116" s="122"/>
      <c r="G116" s="113" t="str">
        <f>IF(Tabela3[[#This Row],[Valor]]="","",G115+F116)</f>
        <v/>
      </c>
      <c r="H116" s="121"/>
      <c r="I116" s="120"/>
    </row>
    <row r="117" spans="1:9" x14ac:dyDescent="0.25">
      <c r="A117" s="4">
        <f>YEAR(Tabela3[[#This Row],[Data]])</f>
        <v>1900</v>
      </c>
      <c r="B117" s="121"/>
      <c r="C117" s="120"/>
      <c r="D117" s="120"/>
      <c r="E117" s="126" t="str">
        <f>IF(Tabela3[[#This Row],[Descrição]]="","",VLOOKUP(Tabela3[[#This Row],[Descrição]],Tabela4[[Descrição]:[Tipo Receita/ Gasto]],2,FALSE))</f>
        <v/>
      </c>
      <c r="F117" s="122"/>
      <c r="G117" s="113" t="str">
        <f>IF(Tabela3[[#This Row],[Valor]]="","",G116+F117)</f>
        <v/>
      </c>
      <c r="H117" s="121"/>
      <c r="I117" s="120"/>
    </row>
    <row r="118" spans="1:9" x14ac:dyDescent="0.25">
      <c r="A118" s="4">
        <f>YEAR(Tabela3[[#This Row],[Data]])</f>
        <v>1900</v>
      </c>
      <c r="B118" s="121"/>
      <c r="C118" s="120"/>
      <c r="D118" s="120"/>
      <c r="E118" s="126" t="str">
        <f>IF(Tabela3[[#This Row],[Descrição]]="","",VLOOKUP(Tabela3[[#This Row],[Descrição]],Tabela4[[Descrição]:[Tipo Receita/ Gasto]],2,FALSE))</f>
        <v/>
      </c>
      <c r="F118" s="122"/>
      <c r="G118" s="113" t="str">
        <f>IF(Tabela3[[#This Row],[Valor]]="","",G117+F118)</f>
        <v/>
      </c>
      <c r="H118" s="121"/>
      <c r="I118" s="120"/>
    </row>
    <row r="119" spans="1:9" x14ac:dyDescent="0.25">
      <c r="A119" s="4">
        <f>YEAR(Tabela3[[#This Row],[Data]])</f>
        <v>1900</v>
      </c>
      <c r="B119" s="121"/>
      <c r="C119" s="120"/>
      <c r="D119" s="120"/>
      <c r="E119" s="126" t="str">
        <f>IF(Tabela3[[#This Row],[Descrição]]="","",VLOOKUP(Tabela3[[#This Row],[Descrição]],Tabela4[[Descrição]:[Tipo Receita/ Gasto]],2,FALSE))</f>
        <v/>
      </c>
      <c r="F119" s="122"/>
      <c r="G119" s="113" t="str">
        <f>IF(Tabela3[[#This Row],[Valor]]="","",G118+F119)</f>
        <v/>
      </c>
      <c r="H119" s="121"/>
      <c r="I119" s="120"/>
    </row>
    <row r="120" spans="1:9" x14ac:dyDescent="0.25">
      <c r="A120" s="4">
        <f>YEAR(Tabela3[[#This Row],[Data]])</f>
        <v>1900</v>
      </c>
      <c r="B120" s="121"/>
      <c r="C120" s="120"/>
      <c r="D120" s="120"/>
      <c r="E120" s="126" t="str">
        <f>IF(Tabela3[[#This Row],[Descrição]]="","",VLOOKUP(Tabela3[[#This Row],[Descrição]],Tabela4[[Descrição]:[Tipo Receita/ Gasto]],2,FALSE))</f>
        <v/>
      </c>
      <c r="F120" s="122"/>
      <c r="G120" s="113" t="str">
        <f>IF(Tabela3[[#This Row],[Valor]]="","",G119+F120)</f>
        <v/>
      </c>
      <c r="H120" s="121"/>
      <c r="I120" s="120"/>
    </row>
    <row r="121" spans="1:9" x14ac:dyDescent="0.25">
      <c r="A121" s="4">
        <f>YEAR(Tabela3[[#This Row],[Data]])</f>
        <v>1900</v>
      </c>
      <c r="B121" s="121"/>
      <c r="C121" s="120"/>
      <c r="D121" s="120"/>
      <c r="E121" s="126" t="str">
        <f>IF(Tabela3[[#This Row],[Descrição]]="","",VLOOKUP(Tabela3[[#This Row],[Descrição]],Tabela4[[Descrição]:[Tipo Receita/ Gasto]],2,FALSE))</f>
        <v/>
      </c>
      <c r="F121" s="122"/>
      <c r="G121" s="113" t="str">
        <f>IF(Tabela3[[#This Row],[Valor]]="","",G120+F121)</f>
        <v/>
      </c>
      <c r="H121" s="121"/>
      <c r="I121" s="120"/>
    </row>
    <row r="122" spans="1:9" x14ac:dyDescent="0.25">
      <c r="A122" s="4">
        <f>YEAR(Tabela3[[#This Row],[Data]])</f>
        <v>1900</v>
      </c>
      <c r="B122" s="121"/>
      <c r="C122" s="120"/>
      <c r="D122" s="120"/>
      <c r="E122" s="126" t="str">
        <f>IF(Tabela3[[#This Row],[Descrição]]="","",VLOOKUP(Tabela3[[#This Row],[Descrição]],Tabela4[[Descrição]:[Tipo Receita/ Gasto]],2,FALSE))</f>
        <v/>
      </c>
      <c r="F122" s="122"/>
      <c r="G122" s="113" t="str">
        <f>IF(Tabela3[[#This Row],[Valor]]="","",G121+F122)</f>
        <v/>
      </c>
      <c r="H122" s="121"/>
      <c r="I122" s="120"/>
    </row>
    <row r="123" spans="1:9" x14ac:dyDescent="0.25">
      <c r="A123" s="4">
        <f>YEAR(Tabela3[[#This Row],[Data]])</f>
        <v>1900</v>
      </c>
      <c r="B123" s="121"/>
      <c r="C123" s="120"/>
      <c r="D123" s="120"/>
      <c r="E123" s="126" t="str">
        <f>IF(Tabela3[[#This Row],[Descrição]]="","",VLOOKUP(Tabela3[[#This Row],[Descrição]],Tabela4[[Descrição]:[Tipo Receita/ Gasto]],2,FALSE))</f>
        <v/>
      </c>
      <c r="F123" s="122"/>
      <c r="G123" s="113" t="str">
        <f>IF(Tabela3[[#This Row],[Valor]]="","",G122+F123)</f>
        <v/>
      </c>
      <c r="H123" s="121"/>
      <c r="I123" s="120"/>
    </row>
    <row r="124" spans="1:9" x14ac:dyDescent="0.25">
      <c r="A124" s="4">
        <f>YEAR(Tabela3[[#This Row],[Data]])</f>
        <v>1900</v>
      </c>
      <c r="B124" s="121"/>
      <c r="C124" s="120"/>
      <c r="D124" s="120"/>
      <c r="E124" s="126" t="str">
        <f>IF(Tabela3[[#This Row],[Descrição]]="","",VLOOKUP(Tabela3[[#This Row],[Descrição]],Tabela4[[Descrição]:[Tipo Receita/ Gasto]],2,FALSE))</f>
        <v/>
      </c>
      <c r="F124" s="122"/>
      <c r="G124" s="113" t="str">
        <f>IF(Tabela3[[#This Row],[Valor]]="","",G123+F124)</f>
        <v/>
      </c>
      <c r="H124" s="121"/>
      <c r="I124" s="120"/>
    </row>
    <row r="125" spans="1:9" x14ac:dyDescent="0.25">
      <c r="A125" s="4">
        <f>YEAR(Tabela3[[#This Row],[Data]])</f>
        <v>1900</v>
      </c>
      <c r="B125" s="121"/>
      <c r="C125" s="120"/>
      <c r="D125" s="120"/>
      <c r="E125" s="126" t="str">
        <f>IF(Tabela3[[#This Row],[Descrição]]="","",VLOOKUP(Tabela3[[#This Row],[Descrição]],Tabela4[[Descrição]:[Tipo Receita/ Gasto]],2,FALSE))</f>
        <v/>
      </c>
      <c r="F125" s="122"/>
      <c r="G125" s="113" t="str">
        <f>IF(Tabela3[[#This Row],[Valor]]="","",G124+F125)</f>
        <v/>
      </c>
      <c r="H125" s="121"/>
      <c r="I125" s="120"/>
    </row>
    <row r="126" spans="1:9" x14ac:dyDescent="0.25">
      <c r="A126" s="4">
        <f>YEAR(Tabela3[[#This Row],[Data]])</f>
        <v>1900</v>
      </c>
      <c r="B126" s="121"/>
      <c r="C126" s="120"/>
      <c r="D126" s="120"/>
      <c r="E126" s="126" t="str">
        <f>IF(Tabela3[[#This Row],[Descrição]]="","",VLOOKUP(Tabela3[[#This Row],[Descrição]],Tabela4[[Descrição]:[Tipo Receita/ Gasto]],2,FALSE))</f>
        <v/>
      </c>
      <c r="F126" s="122"/>
      <c r="G126" s="113" t="str">
        <f>IF(Tabela3[[#This Row],[Valor]]="","",G125+F126)</f>
        <v/>
      </c>
      <c r="H126" s="121"/>
      <c r="I126" s="120"/>
    </row>
    <row r="127" spans="1:9" x14ac:dyDescent="0.25">
      <c r="A127" s="4">
        <f>YEAR(Tabela3[[#This Row],[Data]])</f>
        <v>1900</v>
      </c>
      <c r="B127" s="121"/>
      <c r="C127" s="120"/>
      <c r="D127" s="120"/>
      <c r="E127" s="126" t="str">
        <f>IF(Tabela3[[#This Row],[Descrição]]="","",VLOOKUP(Tabela3[[#This Row],[Descrição]],Tabela4[[Descrição]:[Tipo Receita/ Gasto]],2,FALSE))</f>
        <v/>
      </c>
      <c r="F127" s="122"/>
      <c r="G127" s="113" t="str">
        <f>IF(Tabela3[[#This Row],[Valor]]="","",G126+F127)</f>
        <v/>
      </c>
      <c r="H127" s="121"/>
      <c r="I127" s="120"/>
    </row>
    <row r="128" spans="1:9" x14ac:dyDescent="0.25">
      <c r="A128" s="4">
        <f>YEAR(Tabela3[[#This Row],[Data]])</f>
        <v>1900</v>
      </c>
      <c r="B128" s="121"/>
      <c r="C128" s="120"/>
      <c r="D128" s="120"/>
      <c r="E128" s="126" t="str">
        <f>IF(Tabela3[[#This Row],[Descrição]]="","",VLOOKUP(Tabela3[[#This Row],[Descrição]],Tabela4[[Descrição]:[Tipo Receita/ Gasto]],2,FALSE))</f>
        <v/>
      </c>
      <c r="F128" s="122"/>
      <c r="G128" s="113" t="str">
        <f>IF(Tabela3[[#This Row],[Valor]]="","",G127+F128)</f>
        <v/>
      </c>
      <c r="H128" s="121"/>
      <c r="I128" s="120"/>
    </row>
    <row r="129" spans="1:9" x14ac:dyDescent="0.25">
      <c r="A129" s="4">
        <f>YEAR(Tabela3[[#This Row],[Data]])</f>
        <v>1900</v>
      </c>
      <c r="B129" s="121"/>
      <c r="C129" s="120"/>
      <c r="D129" s="120"/>
      <c r="E129" s="126" t="str">
        <f>IF(Tabela3[[#This Row],[Descrição]]="","",VLOOKUP(Tabela3[[#This Row],[Descrição]],Tabela4[[Descrição]:[Tipo Receita/ Gasto]],2,FALSE))</f>
        <v/>
      </c>
      <c r="F129" s="122"/>
      <c r="G129" s="113" t="str">
        <f>IF(Tabela3[[#This Row],[Valor]]="","",G128+F129)</f>
        <v/>
      </c>
      <c r="H129" s="121"/>
      <c r="I129" s="120"/>
    </row>
    <row r="130" spans="1:9" x14ac:dyDescent="0.25">
      <c r="A130" s="4">
        <f>YEAR(Tabela3[[#This Row],[Data]])</f>
        <v>1900</v>
      </c>
      <c r="B130" s="121"/>
      <c r="C130" s="120"/>
      <c r="D130" s="120"/>
      <c r="E130" s="126" t="str">
        <f>IF(Tabela3[[#This Row],[Descrição]]="","",VLOOKUP(Tabela3[[#This Row],[Descrição]],Tabela4[[Descrição]:[Tipo Receita/ Gasto]],2,FALSE))</f>
        <v/>
      </c>
      <c r="F130" s="122"/>
      <c r="G130" s="113" t="str">
        <f>IF(Tabela3[[#This Row],[Valor]]="","",G129+F130)</f>
        <v/>
      </c>
      <c r="H130" s="121"/>
      <c r="I130" s="120"/>
    </row>
    <row r="131" spans="1:9" x14ac:dyDescent="0.25">
      <c r="A131" s="4">
        <f>YEAR(Tabela3[[#This Row],[Data]])</f>
        <v>1900</v>
      </c>
      <c r="B131" s="121"/>
      <c r="C131" s="120"/>
      <c r="D131" s="120"/>
      <c r="E131" s="126" t="str">
        <f>IF(Tabela3[[#This Row],[Descrição]]="","",VLOOKUP(Tabela3[[#This Row],[Descrição]],Tabela4[[Descrição]:[Tipo Receita/ Gasto]],2,FALSE))</f>
        <v/>
      </c>
      <c r="F131" s="122"/>
      <c r="G131" s="113" t="str">
        <f>IF(Tabela3[[#This Row],[Valor]]="","",G130+F131)</f>
        <v/>
      </c>
      <c r="H131" s="121"/>
      <c r="I131" s="120"/>
    </row>
    <row r="132" spans="1:9" x14ac:dyDescent="0.25">
      <c r="A132" s="4">
        <f>YEAR(Tabela3[[#This Row],[Data]])</f>
        <v>1900</v>
      </c>
      <c r="B132" s="121"/>
      <c r="C132" s="120"/>
      <c r="D132" s="120"/>
      <c r="E132" s="126" t="str">
        <f>IF(Tabela3[[#This Row],[Descrição]]="","",VLOOKUP(Tabela3[[#This Row],[Descrição]],Tabela4[[Descrição]:[Tipo Receita/ Gasto]],2,FALSE))</f>
        <v/>
      </c>
      <c r="F132" s="122"/>
      <c r="G132" s="113" t="str">
        <f>IF(Tabela3[[#This Row],[Valor]]="","",G131+F132)</f>
        <v/>
      </c>
      <c r="H132" s="121"/>
      <c r="I132" s="120"/>
    </row>
    <row r="133" spans="1:9" x14ac:dyDescent="0.25">
      <c r="A133" s="4">
        <f>YEAR(Tabela3[[#This Row],[Data]])</f>
        <v>1900</v>
      </c>
      <c r="B133" s="121"/>
      <c r="C133" s="120"/>
      <c r="D133" s="120"/>
      <c r="E133" s="126" t="str">
        <f>IF(Tabela3[[#This Row],[Descrição]]="","",VLOOKUP(Tabela3[[#This Row],[Descrição]],Tabela4[[Descrição]:[Tipo Receita/ Gasto]],2,FALSE))</f>
        <v/>
      </c>
      <c r="F133" s="122"/>
      <c r="G133" s="113" t="str">
        <f>IF(Tabela3[[#This Row],[Valor]]="","",G132+F133)</f>
        <v/>
      </c>
      <c r="H133" s="121"/>
      <c r="I133" s="120"/>
    </row>
    <row r="134" spans="1:9" x14ac:dyDescent="0.25">
      <c r="A134" s="4">
        <f>YEAR(Tabela3[[#This Row],[Data]])</f>
        <v>1900</v>
      </c>
      <c r="B134" s="121"/>
      <c r="C134" s="120"/>
      <c r="D134" s="120"/>
      <c r="E134" s="126" t="str">
        <f>IF(Tabela3[[#This Row],[Descrição]]="","",VLOOKUP(Tabela3[[#This Row],[Descrição]],Tabela4[[Descrição]:[Tipo Receita/ Gasto]],2,FALSE))</f>
        <v/>
      </c>
      <c r="F134" s="122"/>
      <c r="G134" s="113" t="str">
        <f>IF(Tabela3[[#This Row],[Valor]]="","",G133+F134)</f>
        <v/>
      </c>
      <c r="H134" s="121"/>
      <c r="I134" s="120"/>
    </row>
    <row r="135" spans="1:9" x14ac:dyDescent="0.25">
      <c r="A135" s="4">
        <f>YEAR(Tabela3[[#This Row],[Data]])</f>
        <v>1900</v>
      </c>
      <c r="B135" s="121"/>
      <c r="C135" s="120"/>
      <c r="D135" s="120"/>
      <c r="E135" s="126" t="str">
        <f>IF(Tabela3[[#This Row],[Descrição]]="","",VLOOKUP(Tabela3[[#This Row],[Descrição]],Tabela4[[Descrição]:[Tipo Receita/ Gasto]],2,FALSE))</f>
        <v/>
      </c>
      <c r="F135" s="122"/>
      <c r="G135" s="113" t="str">
        <f>IF(Tabela3[[#This Row],[Valor]]="","",G134+F135)</f>
        <v/>
      </c>
      <c r="H135" s="121"/>
      <c r="I135" s="120"/>
    </row>
    <row r="136" spans="1:9" x14ac:dyDescent="0.25">
      <c r="A136" s="4">
        <f>YEAR(Tabela3[[#This Row],[Data]])</f>
        <v>1900</v>
      </c>
      <c r="B136" s="121"/>
      <c r="C136" s="120"/>
      <c r="D136" s="120"/>
      <c r="E136" s="126" t="str">
        <f>IF(Tabela3[[#This Row],[Descrição]]="","",VLOOKUP(Tabela3[[#This Row],[Descrição]],Tabela4[[Descrição]:[Tipo Receita/ Gasto]],2,FALSE))</f>
        <v/>
      </c>
      <c r="F136" s="122"/>
      <c r="G136" s="113" t="str">
        <f>IF(Tabela3[[#This Row],[Valor]]="","",G135+F136)</f>
        <v/>
      </c>
      <c r="H136" s="121"/>
      <c r="I136" s="120"/>
    </row>
    <row r="137" spans="1:9" x14ac:dyDescent="0.25">
      <c r="A137" s="4">
        <f>YEAR(Tabela3[[#This Row],[Data]])</f>
        <v>1900</v>
      </c>
      <c r="B137" s="121"/>
      <c r="C137" s="120"/>
      <c r="D137" s="120"/>
      <c r="E137" s="126" t="str">
        <f>IF(Tabela3[[#This Row],[Descrição]]="","",VLOOKUP(Tabela3[[#This Row],[Descrição]],Tabela4[[Descrição]:[Tipo Receita/ Gasto]],2,FALSE))</f>
        <v/>
      </c>
      <c r="F137" s="122"/>
      <c r="G137" s="113" t="str">
        <f>IF(Tabela3[[#This Row],[Valor]]="","",G136+F137)</f>
        <v/>
      </c>
      <c r="H137" s="121"/>
      <c r="I137" s="120"/>
    </row>
    <row r="138" spans="1:9" x14ac:dyDescent="0.25">
      <c r="A138" s="4">
        <f>YEAR(Tabela3[[#This Row],[Data]])</f>
        <v>1900</v>
      </c>
      <c r="B138" s="121"/>
      <c r="C138" s="120"/>
      <c r="D138" s="120"/>
      <c r="E138" s="126" t="str">
        <f>IF(Tabela3[[#This Row],[Descrição]]="","",VLOOKUP(Tabela3[[#This Row],[Descrição]],Tabela4[[Descrição]:[Tipo Receita/ Gasto]],2,FALSE))</f>
        <v/>
      </c>
      <c r="F138" s="122"/>
      <c r="G138" s="113" t="str">
        <f>IF(Tabela3[[#This Row],[Valor]]="","",G137+F138)</f>
        <v/>
      </c>
      <c r="H138" s="121"/>
      <c r="I138" s="120"/>
    </row>
    <row r="139" spans="1:9" x14ac:dyDescent="0.25">
      <c r="A139" s="4">
        <f>YEAR(Tabela3[[#This Row],[Data]])</f>
        <v>1900</v>
      </c>
      <c r="B139" s="121"/>
      <c r="C139" s="120"/>
      <c r="D139" s="120"/>
      <c r="E139" s="126" t="str">
        <f>IF(Tabela3[[#This Row],[Descrição]]="","",VLOOKUP(Tabela3[[#This Row],[Descrição]],Tabela4[[Descrição]:[Tipo Receita/ Gasto]],2,FALSE))</f>
        <v/>
      </c>
      <c r="F139" s="122"/>
      <c r="G139" s="113" t="str">
        <f>IF(Tabela3[[#This Row],[Valor]]="","",G138+F139)</f>
        <v/>
      </c>
      <c r="H139" s="121"/>
      <c r="I139" s="120"/>
    </row>
    <row r="140" spans="1:9" x14ac:dyDescent="0.25">
      <c r="A140" s="4">
        <f>YEAR(Tabela3[[#This Row],[Data]])</f>
        <v>1900</v>
      </c>
      <c r="B140" s="121"/>
      <c r="C140" s="120"/>
      <c r="D140" s="120"/>
      <c r="E140" s="126" t="str">
        <f>IF(Tabela3[[#This Row],[Descrição]]="","",VLOOKUP(Tabela3[[#This Row],[Descrição]],Tabela4[[Descrição]:[Tipo Receita/ Gasto]],2,FALSE))</f>
        <v/>
      </c>
      <c r="F140" s="122"/>
      <c r="G140" s="113" t="str">
        <f>IF(Tabela3[[#This Row],[Valor]]="","",G139+F140)</f>
        <v/>
      </c>
      <c r="H140" s="121"/>
      <c r="I140" s="120"/>
    </row>
    <row r="141" spans="1:9" x14ac:dyDescent="0.25">
      <c r="A141" s="4">
        <f>YEAR(Tabela3[[#This Row],[Data]])</f>
        <v>1900</v>
      </c>
      <c r="B141" s="121"/>
      <c r="C141" s="120"/>
      <c r="D141" s="120"/>
      <c r="E141" s="126" t="str">
        <f>IF(Tabela3[[#This Row],[Descrição]]="","",VLOOKUP(Tabela3[[#This Row],[Descrição]],Tabela4[[Descrição]:[Tipo Receita/ Gasto]],2,FALSE))</f>
        <v/>
      </c>
      <c r="F141" s="122"/>
      <c r="G141" s="113" t="str">
        <f>IF(Tabela3[[#This Row],[Valor]]="","",G140+F141)</f>
        <v/>
      </c>
      <c r="H141" s="121"/>
      <c r="I141" s="120"/>
    </row>
    <row r="142" spans="1:9" x14ac:dyDescent="0.25">
      <c r="A142" s="4">
        <f>YEAR(Tabela3[[#This Row],[Data]])</f>
        <v>1900</v>
      </c>
      <c r="B142" s="121"/>
      <c r="C142" s="120"/>
      <c r="D142" s="120"/>
      <c r="E142" s="126" t="str">
        <f>IF(Tabela3[[#This Row],[Descrição]]="","",VLOOKUP(Tabela3[[#This Row],[Descrição]],Tabela4[[Descrição]:[Tipo Receita/ Gasto]],2,FALSE))</f>
        <v/>
      </c>
      <c r="F142" s="122"/>
      <c r="G142" s="113" t="str">
        <f>IF(Tabela3[[#This Row],[Valor]]="","",G141+F142)</f>
        <v/>
      </c>
      <c r="H142" s="121"/>
      <c r="I142" s="120"/>
    </row>
    <row r="143" spans="1:9" x14ac:dyDescent="0.25">
      <c r="A143" s="4">
        <f>YEAR(Tabela3[[#This Row],[Data]])</f>
        <v>1900</v>
      </c>
      <c r="B143" s="121"/>
      <c r="C143" s="120"/>
      <c r="D143" s="120"/>
      <c r="E143" s="126" t="str">
        <f>IF(Tabela3[[#This Row],[Descrição]]="","",VLOOKUP(Tabela3[[#This Row],[Descrição]],Tabela4[[Descrição]:[Tipo Receita/ Gasto]],2,FALSE))</f>
        <v/>
      </c>
      <c r="F143" s="122"/>
      <c r="G143" s="113" t="str">
        <f>IF(Tabela3[[#This Row],[Valor]]="","",G142+F143)</f>
        <v/>
      </c>
      <c r="H143" s="121"/>
      <c r="I143" s="120"/>
    </row>
    <row r="144" spans="1:9" x14ac:dyDescent="0.25">
      <c r="A144" s="4">
        <f>YEAR(Tabela3[[#This Row],[Data]])</f>
        <v>1900</v>
      </c>
      <c r="B144" s="121"/>
      <c r="C144" s="120"/>
      <c r="D144" s="120"/>
      <c r="E144" s="126" t="str">
        <f>IF(Tabela3[[#This Row],[Descrição]]="","",VLOOKUP(Tabela3[[#This Row],[Descrição]],Tabela4[[Descrição]:[Tipo Receita/ Gasto]],2,FALSE))</f>
        <v/>
      </c>
      <c r="F144" s="122"/>
      <c r="G144" s="113" t="str">
        <f>IF(Tabela3[[#This Row],[Valor]]="","",G143+F144)</f>
        <v/>
      </c>
      <c r="H144" s="121"/>
      <c r="I144" s="120"/>
    </row>
    <row r="145" spans="1:9" x14ac:dyDescent="0.25">
      <c r="A145" s="4">
        <f>YEAR(Tabela3[[#This Row],[Data]])</f>
        <v>1900</v>
      </c>
      <c r="B145" s="121"/>
      <c r="C145" s="120"/>
      <c r="D145" s="120"/>
      <c r="E145" s="126" t="str">
        <f>IF(Tabela3[[#This Row],[Descrição]]="","",VLOOKUP(Tabela3[[#This Row],[Descrição]],Tabela4[[Descrição]:[Tipo Receita/ Gasto]],2,FALSE))</f>
        <v/>
      </c>
      <c r="F145" s="122"/>
      <c r="G145" s="113" t="str">
        <f>IF(Tabela3[[#This Row],[Valor]]="","",G144+F145)</f>
        <v/>
      </c>
      <c r="H145" s="121"/>
      <c r="I145" s="120"/>
    </row>
    <row r="146" spans="1:9" x14ac:dyDescent="0.25">
      <c r="A146" s="4">
        <f>YEAR(Tabela3[[#This Row],[Data]])</f>
        <v>1900</v>
      </c>
      <c r="B146" s="121"/>
      <c r="C146" s="120"/>
      <c r="D146" s="120"/>
      <c r="E146" s="126" t="str">
        <f>IF(Tabela3[[#This Row],[Descrição]]="","",VLOOKUP(Tabela3[[#This Row],[Descrição]],Tabela4[[Descrição]:[Tipo Receita/ Gasto]],2,FALSE))</f>
        <v/>
      </c>
      <c r="F146" s="122"/>
      <c r="G146" s="113" t="str">
        <f>IF(Tabela3[[#This Row],[Valor]]="","",G145+F146)</f>
        <v/>
      </c>
      <c r="H146" s="121"/>
      <c r="I146" s="120"/>
    </row>
    <row r="147" spans="1:9" x14ac:dyDescent="0.25">
      <c r="A147" s="4">
        <f>YEAR(Tabela3[[#This Row],[Data]])</f>
        <v>1900</v>
      </c>
      <c r="B147" s="121"/>
      <c r="C147" s="120"/>
      <c r="D147" s="120"/>
      <c r="E147" s="126" t="str">
        <f>IF(Tabela3[[#This Row],[Descrição]]="","",VLOOKUP(Tabela3[[#This Row],[Descrição]],Tabela4[[Descrição]:[Tipo Receita/ Gasto]],2,FALSE))</f>
        <v/>
      </c>
      <c r="F147" s="122"/>
      <c r="G147" s="113" t="str">
        <f>IF(Tabela3[[#This Row],[Valor]]="","",G146+F147)</f>
        <v/>
      </c>
      <c r="H147" s="121"/>
      <c r="I147" s="120"/>
    </row>
    <row r="148" spans="1:9" x14ac:dyDescent="0.25">
      <c r="A148" s="4">
        <f>YEAR(Tabela3[[#This Row],[Data]])</f>
        <v>1900</v>
      </c>
      <c r="B148" s="121"/>
      <c r="C148" s="120"/>
      <c r="D148" s="120"/>
      <c r="E148" s="126" t="str">
        <f>IF(Tabela3[[#This Row],[Descrição]]="","",VLOOKUP(Tabela3[[#This Row],[Descrição]],Tabela4[[Descrição]:[Tipo Receita/ Gasto]],2,FALSE))</f>
        <v/>
      </c>
      <c r="F148" s="122"/>
      <c r="G148" s="113" t="str">
        <f>IF(Tabela3[[#This Row],[Valor]]="","",G147+F148)</f>
        <v/>
      </c>
      <c r="H148" s="121"/>
      <c r="I148" s="120"/>
    </row>
    <row r="149" spans="1:9" x14ac:dyDescent="0.25">
      <c r="A149" s="4">
        <f>YEAR(Tabela3[[#This Row],[Data]])</f>
        <v>1900</v>
      </c>
      <c r="B149" s="121"/>
      <c r="C149" s="120"/>
      <c r="D149" s="120"/>
      <c r="E149" s="126" t="str">
        <f>IF(Tabela3[[#This Row],[Descrição]]="","",VLOOKUP(Tabela3[[#This Row],[Descrição]],Tabela4[[Descrição]:[Tipo Receita/ Gasto]],2,FALSE))</f>
        <v/>
      </c>
      <c r="F149" s="122"/>
      <c r="G149" s="113" t="str">
        <f>IF(Tabela3[[#This Row],[Valor]]="","",G148+F149)</f>
        <v/>
      </c>
      <c r="H149" s="121"/>
      <c r="I149" s="120"/>
    </row>
    <row r="150" spans="1:9" x14ac:dyDescent="0.25">
      <c r="A150" s="4">
        <f>YEAR(Tabela3[[#This Row],[Data]])</f>
        <v>1900</v>
      </c>
      <c r="B150" s="121"/>
      <c r="C150" s="120"/>
      <c r="D150" s="120"/>
      <c r="E150" s="126" t="str">
        <f>IF(Tabela3[[#This Row],[Descrição]]="","",VLOOKUP(Tabela3[[#This Row],[Descrição]],Tabela4[[Descrição]:[Tipo Receita/ Gasto]],2,FALSE))</f>
        <v/>
      </c>
      <c r="F150" s="122"/>
      <c r="G150" s="113" t="str">
        <f>IF(Tabela3[[#This Row],[Valor]]="","",G149+F150)</f>
        <v/>
      </c>
      <c r="H150" s="121"/>
      <c r="I150" s="120"/>
    </row>
    <row r="151" spans="1:9" x14ac:dyDescent="0.25">
      <c r="A151" s="4">
        <f>YEAR(Tabela3[[#This Row],[Data]])</f>
        <v>1900</v>
      </c>
      <c r="B151" s="121"/>
      <c r="C151" s="120"/>
      <c r="D151" s="120"/>
      <c r="E151" s="126" t="str">
        <f>IF(Tabela3[[#This Row],[Descrição]]="","",VLOOKUP(Tabela3[[#This Row],[Descrição]],Tabela4[[Descrição]:[Tipo Receita/ Gasto]],2,FALSE))</f>
        <v/>
      </c>
      <c r="F151" s="122"/>
      <c r="G151" s="113" t="str">
        <f>IF(Tabela3[[#This Row],[Valor]]="","",G150+F151)</f>
        <v/>
      </c>
      <c r="H151" s="121"/>
      <c r="I151" s="120"/>
    </row>
    <row r="152" spans="1:9" x14ac:dyDescent="0.25">
      <c r="A152" s="4">
        <f>YEAR(Tabela3[[#This Row],[Data]])</f>
        <v>1900</v>
      </c>
      <c r="B152" s="121"/>
      <c r="C152" s="120"/>
      <c r="D152" s="120"/>
      <c r="E152" s="126" t="str">
        <f>IF(Tabela3[[#This Row],[Descrição]]="","",VLOOKUP(Tabela3[[#This Row],[Descrição]],Tabela4[[Descrição]:[Tipo Receita/ Gasto]],2,FALSE))</f>
        <v/>
      </c>
      <c r="F152" s="122"/>
      <c r="G152" s="113" t="str">
        <f>IF(Tabela3[[#This Row],[Valor]]="","",G151+F152)</f>
        <v/>
      </c>
      <c r="H152" s="121"/>
      <c r="I152" s="120"/>
    </row>
    <row r="153" spans="1:9" x14ac:dyDescent="0.25">
      <c r="A153" s="4">
        <f>YEAR(Tabela3[[#This Row],[Data]])</f>
        <v>1900</v>
      </c>
      <c r="B153" s="121"/>
      <c r="C153" s="120"/>
      <c r="D153" s="120"/>
      <c r="E153" s="126" t="str">
        <f>IF(Tabela3[[#This Row],[Descrição]]="","",VLOOKUP(Tabela3[[#This Row],[Descrição]],Tabela4[[Descrição]:[Tipo Receita/ Gasto]],2,FALSE))</f>
        <v/>
      </c>
      <c r="F153" s="122"/>
      <c r="G153" s="113" t="str">
        <f>IF(Tabela3[[#This Row],[Valor]]="","",G152+F153)</f>
        <v/>
      </c>
      <c r="H153" s="121"/>
      <c r="I153" s="120"/>
    </row>
    <row r="154" spans="1:9" x14ac:dyDescent="0.25">
      <c r="A154" s="4">
        <f>YEAR(Tabela3[[#This Row],[Data]])</f>
        <v>1900</v>
      </c>
      <c r="B154" s="121"/>
      <c r="C154" s="120"/>
      <c r="D154" s="120"/>
      <c r="E154" s="126" t="str">
        <f>IF(Tabela3[[#This Row],[Descrição]]="","",VLOOKUP(Tabela3[[#This Row],[Descrição]],Tabela4[[Descrição]:[Tipo Receita/ Gasto]],2,FALSE))</f>
        <v/>
      </c>
      <c r="F154" s="122"/>
      <c r="G154" s="113" t="str">
        <f>IF(Tabela3[[#This Row],[Valor]]="","",G153+F154)</f>
        <v/>
      </c>
      <c r="H154" s="121"/>
      <c r="I154" s="120"/>
    </row>
    <row r="155" spans="1:9" x14ac:dyDescent="0.25">
      <c r="A155" s="4">
        <f>YEAR(Tabela3[[#This Row],[Data]])</f>
        <v>1900</v>
      </c>
      <c r="B155" s="121"/>
      <c r="C155" s="120"/>
      <c r="D155" s="120"/>
      <c r="E155" s="126" t="str">
        <f>IF(Tabela3[[#This Row],[Descrição]]="","",VLOOKUP(Tabela3[[#This Row],[Descrição]],Tabela4[[Descrição]:[Tipo Receita/ Gasto]],2,FALSE))</f>
        <v/>
      </c>
      <c r="F155" s="122"/>
      <c r="G155" s="113" t="str">
        <f>IF(Tabela3[[#This Row],[Valor]]="","",G154+F155)</f>
        <v/>
      </c>
      <c r="H155" s="121"/>
      <c r="I155" s="120"/>
    </row>
    <row r="156" spans="1:9" x14ac:dyDescent="0.25">
      <c r="A156" s="4">
        <f>YEAR(Tabela3[[#This Row],[Data]])</f>
        <v>1900</v>
      </c>
      <c r="B156" s="121"/>
      <c r="C156" s="120"/>
      <c r="D156" s="120"/>
      <c r="E156" s="126" t="str">
        <f>IF(Tabela3[[#This Row],[Descrição]]="","",VLOOKUP(Tabela3[[#This Row],[Descrição]],Tabela4[[Descrição]:[Tipo Receita/ Gasto]],2,FALSE))</f>
        <v/>
      </c>
      <c r="F156" s="122"/>
      <c r="G156" s="113" t="str">
        <f>IF(Tabela3[[#This Row],[Valor]]="","",G155+F156)</f>
        <v/>
      </c>
      <c r="H156" s="121"/>
      <c r="I156" s="120"/>
    </row>
    <row r="157" spans="1:9" x14ac:dyDescent="0.25">
      <c r="A157" s="4">
        <f>YEAR(Tabela3[[#This Row],[Data]])</f>
        <v>1900</v>
      </c>
      <c r="B157" s="121"/>
      <c r="C157" s="120"/>
      <c r="D157" s="120"/>
      <c r="E157" s="126" t="str">
        <f>IF(Tabela3[[#This Row],[Descrição]]="","",VLOOKUP(Tabela3[[#This Row],[Descrição]],Tabela4[[Descrição]:[Tipo Receita/ Gasto]],2,FALSE))</f>
        <v/>
      </c>
      <c r="F157" s="122"/>
      <c r="G157" s="113" t="str">
        <f>IF(Tabela3[[#This Row],[Valor]]="","",G156+F157)</f>
        <v/>
      </c>
      <c r="H157" s="121"/>
      <c r="I157" s="120"/>
    </row>
    <row r="158" spans="1:9" x14ac:dyDescent="0.25">
      <c r="A158" s="4">
        <f>YEAR(Tabela3[[#This Row],[Data]])</f>
        <v>1900</v>
      </c>
      <c r="B158" s="121"/>
      <c r="C158" s="120"/>
      <c r="D158" s="120"/>
      <c r="E158" s="126" t="str">
        <f>IF(Tabela3[[#This Row],[Descrição]]="","",VLOOKUP(Tabela3[[#This Row],[Descrição]],Tabela4[[Descrição]:[Tipo Receita/ Gasto]],2,FALSE))</f>
        <v/>
      </c>
      <c r="F158" s="122"/>
      <c r="G158" s="113" t="str">
        <f>IF(Tabela3[[#This Row],[Valor]]="","",G157+F158)</f>
        <v/>
      </c>
      <c r="H158" s="121"/>
      <c r="I158" s="120"/>
    </row>
    <row r="159" spans="1:9" x14ac:dyDescent="0.25">
      <c r="A159" s="4">
        <f>YEAR(Tabela3[[#This Row],[Data]])</f>
        <v>1900</v>
      </c>
      <c r="B159" s="121"/>
      <c r="C159" s="120"/>
      <c r="D159" s="120"/>
      <c r="E159" s="126" t="str">
        <f>IF(Tabela3[[#This Row],[Descrição]]="","",VLOOKUP(Tabela3[[#This Row],[Descrição]],Tabela4[[Descrição]:[Tipo Receita/ Gasto]],2,FALSE))</f>
        <v/>
      </c>
      <c r="F159" s="122"/>
      <c r="G159" s="113" t="str">
        <f>IF(Tabela3[[#This Row],[Valor]]="","",G158+F159)</f>
        <v/>
      </c>
      <c r="H159" s="121"/>
      <c r="I159" s="120"/>
    </row>
    <row r="160" spans="1:9" x14ac:dyDescent="0.25">
      <c r="A160" s="4">
        <f>YEAR(Tabela3[[#This Row],[Data]])</f>
        <v>1900</v>
      </c>
      <c r="B160" s="121"/>
      <c r="C160" s="120"/>
      <c r="D160" s="120"/>
      <c r="E160" s="126" t="str">
        <f>IF(Tabela3[[#This Row],[Descrição]]="","",VLOOKUP(Tabela3[[#This Row],[Descrição]],Tabela4[[Descrição]:[Tipo Receita/ Gasto]],2,FALSE))</f>
        <v/>
      </c>
      <c r="F160" s="122"/>
      <c r="G160" s="113" t="str">
        <f>IF(Tabela3[[#This Row],[Valor]]="","",G159+F160)</f>
        <v/>
      </c>
      <c r="H160" s="121"/>
      <c r="I160" s="120"/>
    </row>
    <row r="161" spans="1:9" x14ac:dyDescent="0.25">
      <c r="A161" s="4">
        <f>YEAR(Tabela3[[#This Row],[Data]])</f>
        <v>1900</v>
      </c>
      <c r="B161" s="121"/>
      <c r="C161" s="120"/>
      <c r="D161" s="120"/>
      <c r="E161" s="126" t="str">
        <f>IF(Tabela3[[#This Row],[Descrição]]="","",VLOOKUP(Tabela3[[#This Row],[Descrição]],Tabela4[[Descrição]:[Tipo Receita/ Gasto]],2,FALSE))</f>
        <v/>
      </c>
      <c r="F161" s="122"/>
      <c r="G161" s="113" t="str">
        <f>IF(Tabela3[[#This Row],[Valor]]="","",G160+F161)</f>
        <v/>
      </c>
      <c r="H161" s="121"/>
      <c r="I161" s="120"/>
    </row>
    <row r="162" spans="1:9" x14ac:dyDescent="0.25">
      <c r="A162" s="4">
        <f>YEAR(Tabela3[[#This Row],[Data]])</f>
        <v>1900</v>
      </c>
      <c r="B162" s="121"/>
      <c r="C162" s="120"/>
      <c r="D162" s="120"/>
      <c r="E162" s="126" t="str">
        <f>IF(Tabela3[[#This Row],[Descrição]]="","",VLOOKUP(Tabela3[[#This Row],[Descrição]],Tabela4[[Descrição]:[Tipo Receita/ Gasto]],2,FALSE))</f>
        <v/>
      </c>
      <c r="F162" s="122"/>
      <c r="G162" s="113" t="str">
        <f>IF(Tabela3[[#This Row],[Valor]]="","",G161+F162)</f>
        <v/>
      </c>
      <c r="H162" s="121"/>
      <c r="I162" s="120"/>
    </row>
    <row r="163" spans="1:9" x14ac:dyDescent="0.25">
      <c r="A163" s="4">
        <f>YEAR(Tabela3[[#This Row],[Data]])</f>
        <v>1900</v>
      </c>
      <c r="B163" s="121"/>
      <c r="C163" s="120"/>
      <c r="D163" s="120"/>
      <c r="E163" s="126" t="str">
        <f>IF(Tabela3[[#This Row],[Descrição]]="","",VLOOKUP(Tabela3[[#This Row],[Descrição]],Tabela4[[Descrição]:[Tipo Receita/ Gasto]],2,FALSE))</f>
        <v/>
      </c>
      <c r="F163" s="122"/>
      <c r="G163" s="113" t="str">
        <f>IF(Tabela3[[#This Row],[Valor]]="","",G162+F163)</f>
        <v/>
      </c>
      <c r="H163" s="121"/>
      <c r="I163" s="120"/>
    </row>
    <row r="164" spans="1:9" x14ac:dyDescent="0.25">
      <c r="A164" s="4">
        <f>YEAR(Tabela3[[#This Row],[Data]])</f>
        <v>1900</v>
      </c>
      <c r="B164" s="121"/>
      <c r="C164" s="120"/>
      <c r="D164" s="120"/>
      <c r="E164" s="126" t="str">
        <f>IF(Tabela3[[#This Row],[Descrição]]="","",VLOOKUP(Tabela3[[#This Row],[Descrição]],Tabela4[[Descrição]:[Tipo Receita/ Gasto]],2,FALSE))</f>
        <v/>
      </c>
      <c r="F164" s="122"/>
      <c r="G164" s="113" t="str">
        <f>IF(Tabela3[[#This Row],[Valor]]="","",G163+F164)</f>
        <v/>
      </c>
      <c r="H164" s="121"/>
      <c r="I164" s="120"/>
    </row>
    <row r="165" spans="1:9" x14ac:dyDescent="0.25">
      <c r="A165" s="4">
        <f>YEAR(Tabela3[[#This Row],[Data]])</f>
        <v>1900</v>
      </c>
      <c r="B165" s="121"/>
      <c r="C165" s="120"/>
      <c r="D165" s="120"/>
      <c r="E165" s="126" t="str">
        <f>IF(Tabela3[[#This Row],[Descrição]]="","",VLOOKUP(Tabela3[[#This Row],[Descrição]],Tabela4[[Descrição]:[Tipo Receita/ Gasto]],2,FALSE))</f>
        <v/>
      </c>
      <c r="F165" s="122"/>
      <c r="G165" s="113" t="str">
        <f>IF(Tabela3[[#This Row],[Valor]]="","",G164+F165)</f>
        <v/>
      </c>
      <c r="H165" s="121"/>
      <c r="I165" s="120"/>
    </row>
    <row r="166" spans="1:9" x14ac:dyDescent="0.25">
      <c r="A166" s="4">
        <f>YEAR(Tabela3[[#This Row],[Data]])</f>
        <v>1900</v>
      </c>
      <c r="B166" s="121"/>
      <c r="C166" s="120"/>
      <c r="D166" s="120"/>
      <c r="E166" s="126" t="str">
        <f>IF(Tabela3[[#This Row],[Descrição]]="","",VLOOKUP(Tabela3[[#This Row],[Descrição]],Tabela4[[Descrição]:[Tipo Receita/ Gasto]],2,FALSE))</f>
        <v/>
      </c>
      <c r="F166" s="122"/>
      <c r="G166" s="113" t="str">
        <f>IF(Tabela3[[#This Row],[Valor]]="","",G165+F166)</f>
        <v/>
      </c>
      <c r="H166" s="121"/>
      <c r="I166" s="120"/>
    </row>
    <row r="167" spans="1:9" x14ac:dyDescent="0.25">
      <c r="A167" s="4">
        <f>YEAR(Tabela3[[#This Row],[Data]])</f>
        <v>1900</v>
      </c>
      <c r="B167" s="121"/>
      <c r="C167" s="120"/>
      <c r="D167" s="120"/>
      <c r="E167" s="126" t="str">
        <f>IF(Tabela3[[#This Row],[Descrição]]="","",VLOOKUP(Tabela3[[#This Row],[Descrição]],Tabela4[[Descrição]:[Tipo Receita/ Gasto]],2,FALSE))</f>
        <v/>
      </c>
      <c r="F167" s="122"/>
      <c r="G167" s="113" t="str">
        <f>IF(Tabela3[[#This Row],[Valor]]="","",G166+F167)</f>
        <v/>
      </c>
      <c r="H167" s="121"/>
      <c r="I167" s="120"/>
    </row>
    <row r="168" spans="1:9" x14ac:dyDescent="0.25">
      <c r="A168" s="4">
        <f>YEAR(Tabela3[[#This Row],[Data]])</f>
        <v>1900</v>
      </c>
      <c r="B168" s="121"/>
      <c r="C168" s="120"/>
      <c r="D168" s="120"/>
      <c r="E168" s="126" t="str">
        <f>IF(Tabela3[[#This Row],[Descrição]]="","",VLOOKUP(Tabela3[[#This Row],[Descrição]],Tabela4[[Descrição]:[Tipo Receita/ Gasto]],2,FALSE))</f>
        <v/>
      </c>
      <c r="F168" s="122"/>
      <c r="G168" s="113" t="str">
        <f>IF(Tabela3[[#This Row],[Valor]]="","",G167+F168)</f>
        <v/>
      </c>
      <c r="H168" s="121"/>
      <c r="I168" s="120"/>
    </row>
    <row r="169" spans="1:9" x14ac:dyDescent="0.25">
      <c r="A169" s="4">
        <f>YEAR(Tabela3[[#This Row],[Data]])</f>
        <v>1900</v>
      </c>
      <c r="B169" s="121"/>
      <c r="C169" s="120"/>
      <c r="D169" s="120"/>
      <c r="E169" s="126" t="str">
        <f>IF(Tabela3[[#This Row],[Descrição]]="","",VLOOKUP(Tabela3[[#This Row],[Descrição]],Tabela4[[Descrição]:[Tipo Receita/ Gasto]],2,FALSE))</f>
        <v/>
      </c>
      <c r="F169" s="122"/>
      <c r="G169" s="113" t="str">
        <f>IF(Tabela3[[#This Row],[Valor]]="","",G168+F169)</f>
        <v/>
      </c>
      <c r="H169" s="121"/>
      <c r="I169" s="120"/>
    </row>
    <row r="170" spans="1:9" x14ac:dyDescent="0.25">
      <c r="A170" s="4">
        <f>YEAR(Tabela3[[#This Row],[Data]])</f>
        <v>1900</v>
      </c>
      <c r="B170" s="121"/>
      <c r="C170" s="120"/>
      <c r="D170" s="120"/>
      <c r="E170" s="126" t="str">
        <f>IF(Tabela3[[#This Row],[Descrição]]="","",VLOOKUP(Tabela3[[#This Row],[Descrição]],Tabela4[[Descrição]:[Tipo Receita/ Gasto]],2,FALSE))</f>
        <v/>
      </c>
      <c r="F170" s="122"/>
      <c r="G170" s="113" t="str">
        <f>IF(Tabela3[[#This Row],[Valor]]="","",G169+F170)</f>
        <v/>
      </c>
      <c r="H170" s="121"/>
      <c r="I170" s="120"/>
    </row>
    <row r="171" spans="1:9" x14ac:dyDescent="0.25">
      <c r="A171" s="4">
        <f>YEAR(Tabela3[[#This Row],[Data]])</f>
        <v>1900</v>
      </c>
      <c r="B171" s="121"/>
      <c r="C171" s="120"/>
      <c r="D171" s="120"/>
      <c r="E171" s="126" t="str">
        <f>IF(Tabela3[[#This Row],[Descrição]]="","",VLOOKUP(Tabela3[[#This Row],[Descrição]],Tabela4[[Descrição]:[Tipo Receita/ Gasto]],2,FALSE))</f>
        <v/>
      </c>
      <c r="F171" s="122"/>
      <c r="G171" s="113" t="str">
        <f>IF(Tabela3[[#This Row],[Valor]]="","",G170+F171)</f>
        <v/>
      </c>
      <c r="H171" s="121"/>
      <c r="I171" s="120"/>
    </row>
    <row r="172" spans="1:9" x14ac:dyDescent="0.25">
      <c r="A172" s="4">
        <f>YEAR(Tabela3[[#This Row],[Data]])</f>
        <v>1900</v>
      </c>
      <c r="B172" s="121"/>
      <c r="C172" s="120"/>
      <c r="D172" s="120"/>
      <c r="E172" s="126" t="str">
        <f>IF(Tabela3[[#This Row],[Descrição]]="","",VLOOKUP(Tabela3[[#This Row],[Descrição]],Tabela4[[Descrição]:[Tipo Receita/ Gasto]],2,FALSE))</f>
        <v/>
      </c>
      <c r="F172" s="122"/>
      <c r="G172" s="113" t="str">
        <f>IF(Tabela3[[#This Row],[Valor]]="","",G171+F172)</f>
        <v/>
      </c>
      <c r="H172" s="121"/>
      <c r="I172" s="120"/>
    </row>
    <row r="173" spans="1:9" x14ac:dyDescent="0.25">
      <c r="A173" s="4">
        <f>YEAR(Tabela3[[#This Row],[Data]])</f>
        <v>1900</v>
      </c>
      <c r="B173" s="121"/>
      <c r="C173" s="120"/>
      <c r="D173" s="120"/>
      <c r="E173" s="126" t="str">
        <f>IF(Tabela3[[#This Row],[Descrição]]="","",VLOOKUP(Tabela3[[#This Row],[Descrição]],Tabela4[[Descrição]:[Tipo Receita/ Gasto]],2,FALSE))</f>
        <v/>
      </c>
      <c r="F173" s="122"/>
      <c r="G173" s="113" t="str">
        <f>IF(Tabela3[[#This Row],[Valor]]="","",G172+F173)</f>
        <v/>
      </c>
      <c r="H173" s="121"/>
      <c r="I173" s="120"/>
    </row>
    <row r="174" spans="1:9" x14ac:dyDescent="0.25">
      <c r="A174" s="4">
        <f>YEAR(Tabela3[[#This Row],[Data]])</f>
        <v>1900</v>
      </c>
      <c r="B174" s="121"/>
      <c r="C174" s="120"/>
      <c r="D174" s="120"/>
      <c r="E174" s="126" t="str">
        <f>IF(Tabela3[[#This Row],[Descrição]]="","",VLOOKUP(Tabela3[[#This Row],[Descrição]],Tabela4[[Descrição]:[Tipo Receita/ Gasto]],2,FALSE))</f>
        <v/>
      </c>
      <c r="F174" s="122"/>
      <c r="G174" s="113" t="str">
        <f>IF(Tabela3[[#This Row],[Valor]]="","",G173+F174)</f>
        <v/>
      </c>
      <c r="H174" s="121"/>
      <c r="I174" s="120"/>
    </row>
    <row r="175" spans="1:9" x14ac:dyDescent="0.25">
      <c r="A175" s="4">
        <f>YEAR(Tabela3[[#This Row],[Data]])</f>
        <v>1900</v>
      </c>
      <c r="B175" s="121"/>
      <c r="C175" s="120"/>
      <c r="D175" s="120"/>
      <c r="E175" s="126" t="str">
        <f>IF(Tabela3[[#This Row],[Descrição]]="","",VLOOKUP(Tabela3[[#This Row],[Descrição]],Tabela4[[Descrição]:[Tipo Receita/ Gasto]],2,FALSE))</f>
        <v/>
      </c>
      <c r="F175" s="122"/>
      <c r="G175" s="113" t="str">
        <f>IF(Tabela3[[#This Row],[Valor]]="","",G174+F175)</f>
        <v/>
      </c>
      <c r="H175" s="121"/>
      <c r="I175" s="120"/>
    </row>
    <row r="176" spans="1:9" x14ac:dyDescent="0.25">
      <c r="A176" s="4">
        <f>YEAR(Tabela3[[#This Row],[Data]])</f>
        <v>1900</v>
      </c>
      <c r="B176" s="121"/>
      <c r="C176" s="120"/>
      <c r="D176" s="120"/>
      <c r="E176" s="126" t="str">
        <f>IF(Tabela3[[#This Row],[Descrição]]="","",VLOOKUP(Tabela3[[#This Row],[Descrição]],Tabela4[[Descrição]:[Tipo Receita/ Gasto]],2,FALSE))</f>
        <v/>
      </c>
      <c r="F176" s="122"/>
      <c r="G176" s="113" t="str">
        <f>IF(Tabela3[[#This Row],[Valor]]="","",G175+F176)</f>
        <v/>
      </c>
      <c r="H176" s="121"/>
      <c r="I176" s="120"/>
    </row>
    <row r="177" spans="1:9" x14ac:dyDescent="0.25">
      <c r="A177" s="4">
        <f>YEAR(Tabela3[[#This Row],[Data]])</f>
        <v>1900</v>
      </c>
      <c r="B177" s="121"/>
      <c r="C177" s="120"/>
      <c r="D177" s="120"/>
      <c r="E177" s="126" t="str">
        <f>IF(Tabela3[[#This Row],[Descrição]]="","",VLOOKUP(Tabela3[[#This Row],[Descrição]],Tabela4[[Descrição]:[Tipo Receita/ Gasto]],2,FALSE))</f>
        <v/>
      </c>
      <c r="F177" s="122"/>
      <c r="G177" s="113" t="str">
        <f>IF(Tabela3[[#This Row],[Valor]]="","",G176+F177)</f>
        <v/>
      </c>
      <c r="H177" s="121"/>
      <c r="I177" s="120"/>
    </row>
    <row r="178" spans="1:9" x14ac:dyDescent="0.25">
      <c r="A178" s="4">
        <f>YEAR(Tabela3[[#This Row],[Data]])</f>
        <v>1900</v>
      </c>
      <c r="B178" s="121"/>
      <c r="C178" s="120"/>
      <c r="D178" s="120"/>
      <c r="E178" s="126" t="str">
        <f>IF(Tabela3[[#This Row],[Descrição]]="","",VLOOKUP(Tabela3[[#This Row],[Descrição]],Tabela4[[Descrição]:[Tipo Receita/ Gasto]],2,FALSE))</f>
        <v/>
      </c>
      <c r="F178" s="122"/>
      <c r="G178" s="113" t="str">
        <f>IF(Tabela3[[#This Row],[Valor]]="","",G177+F178)</f>
        <v/>
      </c>
      <c r="H178" s="121"/>
      <c r="I178" s="120"/>
    </row>
    <row r="179" spans="1:9" x14ac:dyDescent="0.25">
      <c r="A179" s="4">
        <f>YEAR(Tabela3[[#This Row],[Data]])</f>
        <v>1900</v>
      </c>
      <c r="B179" s="121"/>
      <c r="C179" s="120"/>
      <c r="D179" s="120"/>
      <c r="E179" s="126" t="str">
        <f>IF(Tabela3[[#This Row],[Descrição]]="","",VLOOKUP(Tabela3[[#This Row],[Descrição]],Tabela4[[Descrição]:[Tipo Receita/ Gasto]],2,FALSE))</f>
        <v/>
      </c>
      <c r="F179" s="122"/>
      <c r="G179" s="113" t="str">
        <f>IF(Tabela3[[#This Row],[Valor]]="","",G178+F179)</f>
        <v/>
      </c>
      <c r="H179" s="121"/>
      <c r="I179" s="120"/>
    </row>
    <row r="180" spans="1:9" x14ac:dyDescent="0.25">
      <c r="A180" s="4">
        <f>YEAR(Tabela3[[#This Row],[Data]])</f>
        <v>1900</v>
      </c>
      <c r="B180" s="121"/>
      <c r="C180" s="120"/>
      <c r="D180" s="120"/>
      <c r="E180" s="126" t="str">
        <f>IF(Tabela3[[#This Row],[Descrição]]="","",VLOOKUP(Tabela3[[#This Row],[Descrição]],Tabela4[[Descrição]:[Tipo Receita/ Gasto]],2,FALSE))</f>
        <v/>
      </c>
      <c r="F180" s="122"/>
      <c r="G180" s="113" t="str">
        <f>IF(Tabela3[[#This Row],[Valor]]="","",G179+F180)</f>
        <v/>
      </c>
      <c r="H180" s="121"/>
      <c r="I180" s="120"/>
    </row>
    <row r="181" spans="1:9" x14ac:dyDescent="0.25">
      <c r="A181" s="4">
        <f>YEAR(Tabela3[[#This Row],[Data]])</f>
        <v>1900</v>
      </c>
      <c r="B181" s="121"/>
      <c r="C181" s="120"/>
      <c r="D181" s="120"/>
      <c r="E181" s="126" t="str">
        <f>IF(Tabela3[[#This Row],[Descrição]]="","",VLOOKUP(Tabela3[[#This Row],[Descrição]],Tabela4[[Descrição]:[Tipo Receita/ Gasto]],2,FALSE))</f>
        <v/>
      </c>
      <c r="F181" s="122"/>
      <c r="G181" s="113" t="str">
        <f>IF(Tabela3[[#This Row],[Valor]]="","",G180+F181)</f>
        <v/>
      </c>
      <c r="H181" s="121"/>
      <c r="I181" s="120"/>
    </row>
    <row r="182" spans="1:9" x14ac:dyDescent="0.25">
      <c r="A182" s="4">
        <f>YEAR(Tabela3[[#This Row],[Data]])</f>
        <v>1900</v>
      </c>
      <c r="B182" s="121"/>
      <c r="C182" s="120"/>
      <c r="D182" s="120"/>
      <c r="E182" s="126" t="str">
        <f>IF(Tabela3[[#This Row],[Descrição]]="","",VLOOKUP(Tabela3[[#This Row],[Descrição]],Tabela4[[Descrição]:[Tipo Receita/ Gasto]],2,FALSE))</f>
        <v/>
      </c>
      <c r="F182" s="122"/>
      <c r="G182" s="113" t="str">
        <f>IF(Tabela3[[#This Row],[Valor]]="","",G181+F182)</f>
        <v/>
      </c>
      <c r="H182" s="121"/>
      <c r="I182" s="120"/>
    </row>
    <row r="183" spans="1:9" x14ac:dyDescent="0.25">
      <c r="A183" s="4">
        <f>YEAR(Tabela3[[#This Row],[Data]])</f>
        <v>1900</v>
      </c>
      <c r="B183" s="121"/>
      <c r="C183" s="120"/>
      <c r="D183" s="120"/>
      <c r="E183" s="126" t="str">
        <f>IF(Tabela3[[#This Row],[Descrição]]="","",VLOOKUP(Tabela3[[#This Row],[Descrição]],Tabela4[[Descrição]:[Tipo Receita/ Gasto]],2,FALSE))</f>
        <v/>
      </c>
      <c r="F183" s="122"/>
      <c r="G183" s="113" t="str">
        <f>IF(Tabela3[[#This Row],[Valor]]="","",G182+F183)</f>
        <v/>
      </c>
      <c r="H183" s="121"/>
      <c r="I183" s="120"/>
    </row>
    <row r="184" spans="1:9" x14ac:dyDescent="0.25">
      <c r="A184" s="4">
        <f>YEAR(Tabela3[[#This Row],[Data]])</f>
        <v>1900</v>
      </c>
      <c r="B184" s="121"/>
      <c r="C184" s="120"/>
      <c r="D184" s="120"/>
      <c r="E184" s="126" t="str">
        <f>IF(Tabela3[[#This Row],[Descrição]]="","",VLOOKUP(Tabela3[[#This Row],[Descrição]],Tabela4[[Descrição]:[Tipo Receita/ Gasto]],2,FALSE))</f>
        <v/>
      </c>
      <c r="F184" s="122"/>
      <c r="G184" s="113" t="str">
        <f>IF(Tabela3[[#This Row],[Valor]]="","",G183+F184)</f>
        <v/>
      </c>
      <c r="H184" s="121"/>
      <c r="I184" s="120"/>
    </row>
    <row r="185" spans="1:9" x14ac:dyDescent="0.25">
      <c r="A185" s="4">
        <f>YEAR(Tabela3[[#This Row],[Data]])</f>
        <v>1900</v>
      </c>
      <c r="B185" s="121"/>
      <c r="C185" s="120"/>
      <c r="D185" s="120"/>
      <c r="E185" s="126" t="str">
        <f>IF(Tabela3[[#This Row],[Descrição]]="","",VLOOKUP(Tabela3[[#This Row],[Descrição]],Tabela4[[Descrição]:[Tipo Receita/ Gasto]],2,FALSE))</f>
        <v/>
      </c>
      <c r="F185" s="122"/>
      <c r="G185" s="113" t="str">
        <f>IF(Tabela3[[#This Row],[Valor]]="","",G184+F185)</f>
        <v/>
      </c>
      <c r="H185" s="121"/>
      <c r="I185" s="120"/>
    </row>
    <row r="186" spans="1:9" x14ac:dyDescent="0.25">
      <c r="A186" s="4">
        <f>YEAR(Tabela3[[#This Row],[Data]])</f>
        <v>1900</v>
      </c>
      <c r="B186" s="121"/>
      <c r="C186" s="120"/>
      <c r="D186" s="120"/>
      <c r="E186" s="126" t="str">
        <f>IF(Tabela3[[#This Row],[Descrição]]="","",VLOOKUP(Tabela3[[#This Row],[Descrição]],Tabela4[[Descrição]:[Tipo Receita/ Gasto]],2,FALSE))</f>
        <v/>
      </c>
      <c r="F186" s="122"/>
      <c r="G186" s="113" t="str">
        <f>IF(Tabela3[[#This Row],[Valor]]="","",G185+F186)</f>
        <v/>
      </c>
      <c r="H186" s="121"/>
      <c r="I186" s="120"/>
    </row>
    <row r="187" spans="1:9" x14ac:dyDescent="0.25">
      <c r="A187" s="4">
        <f>YEAR(Tabela3[[#This Row],[Data]])</f>
        <v>1900</v>
      </c>
      <c r="B187" s="121"/>
      <c r="C187" s="120"/>
      <c r="D187" s="120"/>
      <c r="E187" s="126" t="str">
        <f>IF(Tabela3[[#This Row],[Descrição]]="","",VLOOKUP(Tabela3[[#This Row],[Descrição]],Tabela4[[Descrição]:[Tipo Receita/ Gasto]],2,FALSE))</f>
        <v/>
      </c>
      <c r="F187" s="122"/>
      <c r="G187" s="113" t="str">
        <f>IF(Tabela3[[#This Row],[Valor]]="","",G186+F187)</f>
        <v/>
      </c>
      <c r="H187" s="121"/>
      <c r="I187" s="120"/>
    </row>
    <row r="188" spans="1:9" x14ac:dyDescent="0.25">
      <c r="A188" s="4">
        <f>YEAR(Tabela3[[#This Row],[Data]])</f>
        <v>1900</v>
      </c>
      <c r="B188" s="121"/>
      <c r="C188" s="120"/>
      <c r="D188" s="120"/>
      <c r="E188" s="126" t="str">
        <f>IF(Tabela3[[#This Row],[Descrição]]="","",VLOOKUP(Tabela3[[#This Row],[Descrição]],Tabela4[[Descrição]:[Tipo Receita/ Gasto]],2,FALSE))</f>
        <v/>
      </c>
      <c r="F188" s="122"/>
      <c r="G188" s="113" t="str">
        <f>IF(Tabela3[[#This Row],[Valor]]="","",G187+F188)</f>
        <v/>
      </c>
      <c r="H188" s="121"/>
      <c r="I188" s="120"/>
    </row>
    <row r="189" spans="1:9" x14ac:dyDescent="0.25">
      <c r="A189" s="4">
        <f>YEAR(Tabela3[[#This Row],[Data]])</f>
        <v>1900</v>
      </c>
      <c r="B189" s="121"/>
      <c r="C189" s="120"/>
      <c r="D189" s="120"/>
      <c r="E189" s="126" t="str">
        <f>IF(Tabela3[[#This Row],[Descrição]]="","",VLOOKUP(Tabela3[[#This Row],[Descrição]],Tabela4[[Descrição]:[Tipo Receita/ Gasto]],2,FALSE))</f>
        <v/>
      </c>
      <c r="F189" s="122"/>
      <c r="G189" s="113" t="str">
        <f>IF(Tabela3[[#This Row],[Valor]]="","",G188+F189)</f>
        <v/>
      </c>
      <c r="H189" s="121"/>
      <c r="I189" s="120"/>
    </row>
    <row r="190" spans="1:9" x14ac:dyDescent="0.25">
      <c r="A190" s="4">
        <f>YEAR(Tabela3[[#This Row],[Data]])</f>
        <v>1900</v>
      </c>
      <c r="B190" s="121"/>
      <c r="C190" s="120"/>
      <c r="D190" s="120"/>
      <c r="E190" s="126" t="str">
        <f>IF(Tabela3[[#This Row],[Descrição]]="","",VLOOKUP(Tabela3[[#This Row],[Descrição]],Tabela4[[Descrição]:[Tipo Receita/ Gasto]],2,FALSE))</f>
        <v/>
      </c>
      <c r="F190" s="122"/>
      <c r="G190" s="113" t="str">
        <f>IF(Tabela3[[#This Row],[Valor]]="","",G189+F190)</f>
        <v/>
      </c>
      <c r="H190" s="121"/>
      <c r="I190" s="120"/>
    </row>
    <row r="191" spans="1:9" x14ac:dyDescent="0.25">
      <c r="A191" s="4">
        <f>YEAR(Tabela3[[#This Row],[Data]])</f>
        <v>1900</v>
      </c>
      <c r="B191" s="121"/>
      <c r="C191" s="120"/>
      <c r="D191" s="120"/>
      <c r="E191" s="126" t="str">
        <f>IF(Tabela3[[#This Row],[Descrição]]="","",VLOOKUP(Tabela3[[#This Row],[Descrição]],Tabela4[[Descrição]:[Tipo Receita/ Gasto]],2,FALSE))</f>
        <v/>
      </c>
      <c r="F191" s="122"/>
      <c r="G191" s="113" t="str">
        <f>IF(Tabela3[[#This Row],[Valor]]="","",G190+F191)</f>
        <v/>
      </c>
      <c r="H191" s="121"/>
      <c r="I191" s="120"/>
    </row>
    <row r="192" spans="1:9" x14ac:dyDescent="0.25">
      <c r="A192" s="4">
        <f>YEAR(Tabela3[[#This Row],[Data]])</f>
        <v>1900</v>
      </c>
      <c r="B192" s="121"/>
      <c r="C192" s="120"/>
      <c r="D192" s="120"/>
      <c r="E192" s="126" t="str">
        <f>IF(Tabela3[[#This Row],[Descrição]]="","",VLOOKUP(Tabela3[[#This Row],[Descrição]],Tabela4[[Descrição]:[Tipo Receita/ Gasto]],2,FALSE))</f>
        <v/>
      </c>
      <c r="F192" s="122"/>
      <c r="G192" s="113" t="str">
        <f>IF(Tabela3[[#This Row],[Valor]]="","",G191+F192)</f>
        <v/>
      </c>
      <c r="H192" s="121"/>
      <c r="I192" s="120"/>
    </row>
    <row r="193" spans="1:9" x14ac:dyDescent="0.25">
      <c r="A193" s="4">
        <f>YEAR(Tabela3[[#This Row],[Data]])</f>
        <v>1900</v>
      </c>
      <c r="B193" s="121"/>
      <c r="C193" s="120"/>
      <c r="D193" s="120"/>
      <c r="E193" s="126" t="str">
        <f>IF(Tabela3[[#This Row],[Descrição]]="","",VLOOKUP(Tabela3[[#This Row],[Descrição]],Tabela4[[Descrição]:[Tipo Receita/ Gasto]],2,FALSE))</f>
        <v/>
      </c>
      <c r="F193" s="122"/>
      <c r="G193" s="113" t="str">
        <f>IF(Tabela3[[#This Row],[Valor]]="","",G192+F193)</f>
        <v/>
      </c>
      <c r="H193" s="121"/>
      <c r="I193" s="120"/>
    </row>
    <row r="194" spans="1:9" x14ac:dyDescent="0.25">
      <c r="A194" s="4">
        <f>YEAR(Tabela3[[#This Row],[Data]])</f>
        <v>1900</v>
      </c>
      <c r="B194" s="121"/>
      <c r="C194" s="120"/>
      <c r="D194" s="120"/>
      <c r="E194" s="126" t="str">
        <f>IF(Tabela3[[#This Row],[Descrição]]="","",VLOOKUP(Tabela3[[#This Row],[Descrição]],Tabela4[[Descrição]:[Tipo Receita/ Gasto]],2,FALSE))</f>
        <v/>
      </c>
      <c r="F194" s="122"/>
      <c r="G194" s="113" t="str">
        <f>IF(Tabela3[[#This Row],[Valor]]="","",G193+F194)</f>
        <v/>
      </c>
      <c r="H194" s="121"/>
      <c r="I194" s="120"/>
    </row>
    <row r="195" spans="1:9" x14ac:dyDescent="0.25">
      <c r="A195" s="4">
        <f>YEAR(Tabela3[[#This Row],[Data]])</f>
        <v>1900</v>
      </c>
      <c r="B195" s="121"/>
      <c r="C195" s="120"/>
      <c r="D195" s="120"/>
      <c r="E195" s="126" t="str">
        <f>IF(Tabela3[[#This Row],[Descrição]]="","",VLOOKUP(Tabela3[[#This Row],[Descrição]],Tabela4[[Descrição]:[Tipo Receita/ Gasto]],2,FALSE))</f>
        <v/>
      </c>
      <c r="F195" s="122"/>
      <c r="G195" s="113" t="str">
        <f>IF(Tabela3[[#This Row],[Valor]]="","",G194+F195)</f>
        <v/>
      </c>
      <c r="H195" s="121"/>
      <c r="I195" s="120"/>
    </row>
    <row r="196" spans="1:9" x14ac:dyDescent="0.25">
      <c r="A196" s="4">
        <f>YEAR(Tabela3[[#This Row],[Data]])</f>
        <v>1900</v>
      </c>
      <c r="B196" s="121"/>
      <c r="C196" s="120"/>
      <c r="D196" s="120"/>
      <c r="E196" s="126" t="str">
        <f>IF(Tabela3[[#This Row],[Descrição]]="","",VLOOKUP(Tabela3[[#This Row],[Descrição]],Tabela4[[Descrição]:[Tipo Receita/ Gasto]],2,FALSE))</f>
        <v/>
      </c>
      <c r="F196" s="122"/>
      <c r="G196" s="113" t="str">
        <f>IF(Tabela3[[#This Row],[Valor]]="","",G195+F196)</f>
        <v/>
      </c>
      <c r="H196" s="121"/>
      <c r="I196" s="120"/>
    </row>
    <row r="197" spans="1:9" x14ac:dyDescent="0.25">
      <c r="A197" s="4">
        <f>YEAR(Tabela3[[#This Row],[Data]])</f>
        <v>1900</v>
      </c>
      <c r="B197" s="121"/>
      <c r="C197" s="120"/>
      <c r="D197" s="120"/>
      <c r="E197" s="126" t="str">
        <f>IF(Tabela3[[#This Row],[Descrição]]="","",VLOOKUP(Tabela3[[#This Row],[Descrição]],Tabela4[[Descrição]:[Tipo Receita/ Gasto]],2,FALSE))</f>
        <v/>
      </c>
      <c r="F197" s="122"/>
      <c r="G197" s="113" t="str">
        <f>IF(Tabela3[[#This Row],[Valor]]="","",G196+F197)</f>
        <v/>
      </c>
      <c r="H197" s="121"/>
      <c r="I197" s="120"/>
    </row>
    <row r="198" spans="1:9" x14ac:dyDescent="0.25">
      <c r="A198" s="4">
        <f>YEAR(Tabela3[[#This Row],[Data]])</f>
        <v>1900</v>
      </c>
      <c r="B198" s="121"/>
      <c r="C198" s="120"/>
      <c r="D198" s="120"/>
      <c r="E198" s="126" t="str">
        <f>IF(Tabela3[[#This Row],[Descrição]]="","",VLOOKUP(Tabela3[[#This Row],[Descrição]],Tabela4[[Descrição]:[Tipo Receita/ Gasto]],2,FALSE))</f>
        <v/>
      </c>
      <c r="F198" s="122"/>
      <c r="G198" s="113" t="str">
        <f>IF(Tabela3[[#This Row],[Valor]]="","",G197+F198)</f>
        <v/>
      </c>
      <c r="H198" s="121"/>
      <c r="I198" s="120"/>
    </row>
    <row r="199" spans="1:9" x14ac:dyDescent="0.25">
      <c r="A199" s="4">
        <f>YEAR(Tabela3[[#This Row],[Data]])</f>
        <v>1900</v>
      </c>
      <c r="B199" s="121"/>
      <c r="C199" s="120"/>
      <c r="D199" s="120"/>
      <c r="E199" s="126" t="str">
        <f>IF(Tabela3[[#This Row],[Descrição]]="","",VLOOKUP(Tabela3[[#This Row],[Descrição]],Tabela4[[Descrição]:[Tipo Receita/ Gasto]],2,FALSE))</f>
        <v/>
      </c>
      <c r="F199" s="122"/>
      <c r="G199" s="113" t="str">
        <f>IF(Tabela3[[#This Row],[Valor]]="","",G198+F199)</f>
        <v/>
      </c>
      <c r="H199" s="121"/>
      <c r="I199" s="120"/>
    </row>
    <row r="200" spans="1:9" x14ac:dyDescent="0.25">
      <c r="A200" s="4">
        <f>YEAR(Tabela3[[#This Row],[Data]])</f>
        <v>1900</v>
      </c>
      <c r="B200" s="121"/>
      <c r="C200" s="120"/>
      <c r="D200" s="120"/>
      <c r="E200" s="126" t="str">
        <f>IF(Tabela3[[#This Row],[Descrição]]="","",VLOOKUP(Tabela3[[#This Row],[Descrição]],Tabela4[[Descrição]:[Tipo Receita/ Gasto]],2,FALSE))</f>
        <v/>
      </c>
      <c r="F200" s="122"/>
      <c r="G200" s="113" t="str">
        <f>IF(Tabela3[[#This Row],[Valor]]="","",G199+F200)</f>
        <v/>
      </c>
      <c r="H200" s="121"/>
      <c r="I200" s="120"/>
    </row>
    <row r="201" spans="1:9" x14ac:dyDescent="0.25">
      <c r="A201" s="4">
        <f>YEAR(Tabela3[[#This Row],[Data]])</f>
        <v>1900</v>
      </c>
      <c r="B201" s="121"/>
      <c r="C201" s="120"/>
      <c r="D201" s="120"/>
      <c r="E201" s="126" t="str">
        <f>IF(Tabela3[[#This Row],[Descrição]]="","",VLOOKUP(Tabela3[[#This Row],[Descrição]],Tabela4[[Descrição]:[Tipo Receita/ Gasto]],2,FALSE))</f>
        <v/>
      </c>
      <c r="F201" s="122"/>
      <c r="G201" s="113" t="str">
        <f>IF(Tabela3[[#This Row],[Valor]]="","",G200+F201)</f>
        <v/>
      </c>
      <c r="H201" s="121"/>
      <c r="I201" s="120"/>
    </row>
    <row r="202" spans="1:9" x14ac:dyDescent="0.25">
      <c r="A202" s="4">
        <f>YEAR(Tabela3[[#This Row],[Data]])</f>
        <v>1900</v>
      </c>
      <c r="B202" s="121"/>
      <c r="C202" s="120"/>
      <c r="D202" s="120"/>
      <c r="E202" s="126" t="str">
        <f>IF(Tabela3[[#This Row],[Descrição]]="","",VLOOKUP(Tabela3[[#This Row],[Descrição]],Tabela4[[Descrição]:[Tipo Receita/ Gasto]],2,FALSE))</f>
        <v/>
      </c>
      <c r="F202" s="122"/>
      <c r="G202" s="113" t="str">
        <f>IF(Tabela3[[#This Row],[Valor]]="","",G201+F202)</f>
        <v/>
      </c>
      <c r="H202" s="121"/>
      <c r="I202" s="120"/>
    </row>
    <row r="203" spans="1:9" x14ac:dyDescent="0.25">
      <c r="A203" s="4">
        <f>YEAR(Tabela3[[#This Row],[Data]])</f>
        <v>1900</v>
      </c>
      <c r="B203" s="121"/>
      <c r="C203" s="120"/>
      <c r="D203" s="120"/>
      <c r="E203" s="126" t="str">
        <f>IF(Tabela3[[#This Row],[Descrição]]="","",VLOOKUP(Tabela3[[#This Row],[Descrição]],Tabela4[[Descrição]:[Tipo Receita/ Gasto]],2,FALSE))</f>
        <v/>
      </c>
      <c r="F203" s="122"/>
      <c r="G203" s="113" t="str">
        <f>IF(Tabela3[[#This Row],[Valor]]="","",G202+F203)</f>
        <v/>
      </c>
      <c r="H203" s="121"/>
      <c r="I203" s="120"/>
    </row>
    <row r="204" spans="1:9" x14ac:dyDescent="0.25">
      <c r="A204" s="4">
        <f>YEAR(Tabela3[[#This Row],[Data]])</f>
        <v>1900</v>
      </c>
      <c r="B204" s="121"/>
      <c r="C204" s="120"/>
      <c r="D204" s="120"/>
      <c r="E204" s="126" t="str">
        <f>IF(Tabela3[[#This Row],[Descrição]]="","",VLOOKUP(Tabela3[[#This Row],[Descrição]],Tabela4[[Descrição]:[Tipo Receita/ Gasto]],2,FALSE))</f>
        <v/>
      </c>
      <c r="F204" s="122"/>
      <c r="G204" s="113" t="str">
        <f>IF(Tabela3[[#This Row],[Valor]]="","",G203+F204)</f>
        <v/>
      </c>
      <c r="H204" s="121"/>
      <c r="I204" s="120"/>
    </row>
    <row r="205" spans="1:9" x14ac:dyDescent="0.25">
      <c r="A205" s="4">
        <f>YEAR(Tabela3[[#This Row],[Data]])</f>
        <v>1900</v>
      </c>
      <c r="B205" s="121"/>
      <c r="C205" s="120"/>
      <c r="D205" s="120"/>
      <c r="E205" s="126" t="str">
        <f>IF(Tabela3[[#This Row],[Descrição]]="","",VLOOKUP(Tabela3[[#This Row],[Descrição]],Tabela4[[Descrição]:[Tipo Receita/ Gasto]],2,FALSE))</f>
        <v/>
      </c>
      <c r="F205" s="122"/>
      <c r="G205" s="113" t="str">
        <f>IF(Tabela3[[#This Row],[Valor]]="","",G204+F205)</f>
        <v/>
      </c>
      <c r="H205" s="121"/>
      <c r="I205" s="120"/>
    </row>
    <row r="206" spans="1:9" x14ac:dyDescent="0.25">
      <c r="A206" s="4">
        <f>YEAR(Tabela3[[#This Row],[Data]])</f>
        <v>1900</v>
      </c>
      <c r="B206" s="121"/>
      <c r="C206" s="120"/>
      <c r="D206" s="120"/>
      <c r="E206" s="126" t="str">
        <f>IF(Tabela3[[#This Row],[Descrição]]="","",VLOOKUP(Tabela3[[#This Row],[Descrição]],Tabela4[[Descrição]:[Tipo Receita/ Gasto]],2,FALSE))</f>
        <v/>
      </c>
      <c r="F206" s="122"/>
      <c r="G206" s="113" t="str">
        <f>IF(Tabela3[[#This Row],[Valor]]="","",G205+F206)</f>
        <v/>
      </c>
      <c r="H206" s="121"/>
      <c r="I206" s="120"/>
    </row>
    <row r="207" spans="1:9" x14ac:dyDescent="0.25">
      <c r="A207" s="4">
        <f>YEAR(Tabela3[[#This Row],[Data]])</f>
        <v>1900</v>
      </c>
      <c r="B207" s="121"/>
      <c r="C207" s="120"/>
      <c r="D207" s="120"/>
      <c r="E207" s="126" t="str">
        <f>IF(Tabela3[[#This Row],[Descrição]]="","",VLOOKUP(Tabela3[[#This Row],[Descrição]],Tabela4[[Descrição]:[Tipo Receita/ Gasto]],2,FALSE))</f>
        <v/>
      </c>
      <c r="F207" s="122"/>
      <c r="G207" s="113" t="str">
        <f>IF(Tabela3[[#This Row],[Valor]]="","",G206+F207)</f>
        <v/>
      </c>
      <c r="H207" s="121"/>
      <c r="I207" s="120"/>
    </row>
    <row r="208" spans="1:9" x14ac:dyDescent="0.25">
      <c r="A208" s="4">
        <f>YEAR(Tabela3[[#This Row],[Data]])</f>
        <v>1900</v>
      </c>
      <c r="B208" s="121"/>
      <c r="C208" s="120"/>
      <c r="D208" s="120"/>
      <c r="E208" s="126" t="str">
        <f>IF(Tabela3[[#This Row],[Descrição]]="","",VLOOKUP(Tabela3[[#This Row],[Descrição]],Tabela4[[Descrição]:[Tipo Receita/ Gasto]],2,FALSE))</f>
        <v/>
      </c>
      <c r="F208" s="122"/>
      <c r="G208" s="113" t="str">
        <f>IF(Tabela3[[#This Row],[Valor]]="","",G207+F208)</f>
        <v/>
      </c>
      <c r="H208" s="121"/>
      <c r="I208" s="120"/>
    </row>
    <row r="209" spans="1:9" x14ac:dyDescent="0.25">
      <c r="A209" s="4">
        <f>YEAR(Tabela3[[#This Row],[Data]])</f>
        <v>1900</v>
      </c>
      <c r="B209" s="121"/>
      <c r="C209" s="120"/>
      <c r="D209" s="120"/>
      <c r="E209" s="126" t="str">
        <f>IF(Tabela3[[#This Row],[Descrição]]="","",VLOOKUP(Tabela3[[#This Row],[Descrição]],Tabela4[[Descrição]:[Tipo Receita/ Gasto]],2,FALSE))</f>
        <v/>
      </c>
      <c r="F209" s="122"/>
      <c r="G209" s="113" t="str">
        <f>IF(Tabela3[[#This Row],[Valor]]="","",G208+F209)</f>
        <v/>
      </c>
      <c r="H209" s="121"/>
      <c r="I209" s="120"/>
    </row>
    <row r="210" spans="1:9" x14ac:dyDescent="0.25">
      <c r="A210" s="4">
        <f>YEAR(Tabela3[[#This Row],[Data]])</f>
        <v>1900</v>
      </c>
      <c r="B210" s="121"/>
      <c r="C210" s="120"/>
      <c r="D210" s="120"/>
      <c r="E210" s="126" t="str">
        <f>IF(Tabela3[[#This Row],[Descrição]]="","",VLOOKUP(Tabela3[[#This Row],[Descrição]],Tabela4[[Descrição]:[Tipo Receita/ Gasto]],2,FALSE))</f>
        <v/>
      </c>
      <c r="F210" s="122"/>
      <c r="G210" s="113" t="str">
        <f>IF(Tabela3[[#This Row],[Valor]]="","",G209+F210)</f>
        <v/>
      </c>
      <c r="H210" s="121"/>
      <c r="I210" s="120"/>
    </row>
    <row r="211" spans="1:9" x14ac:dyDescent="0.25">
      <c r="A211" s="4">
        <f>YEAR(Tabela3[[#This Row],[Data]])</f>
        <v>1900</v>
      </c>
      <c r="B211" s="121"/>
      <c r="C211" s="120"/>
      <c r="D211" s="120"/>
      <c r="E211" s="126" t="str">
        <f>IF(Tabela3[[#This Row],[Descrição]]="","",VLOOKUP(Tabela3[[#This Row],[Descrição]],Tabela4[[Descrição]:[Tipo Receita/ Gasto]],2,FALSE))</f>
        <v/>
      </c>
      <c r="F211" s="122"/>
      <c r="G211" s="113" t="str">
        <f>IF(Tabela3[[#This Row],[Valor]]="","",G210+F211)</f>
        <v/>
      </c>
      <c r="H211" s="121"/>
      <c r="I211" s="120"/>
    </row>
    <row r="212" spans="1:9" x14ac:dyDescent="0.25">
      <c r="A212" s="4">
        <f>YEAR(Tabela3[[#This Row],[Data]])</f>
        <v>1900</v>
      </c>
      <c r="B212" s="121"/>
      <c r="C212" s="120"/>
      <c r="D212" s="120"/>
      <c r="E212" s="126" t="str">
        <f>IF(Tabela3[[#This Row],[Descrição]]="","",VLOOKUP(Tabela3[[#This Row],[Descrição]],Tabela4[[Descrição]:[Tipo Receita/ Gasto]],2,FALSE))</f>
        <v/>
      </c>
      <c r="F212" s="122"/>
      <c r="G212" s="113" t="str">
        <f>IF(Tabela3[[#This Row],[Valor]]="","",G211+F212)</f>
        <v/>
      </c>
      <c r="H212" s="121"/>
      <c r="I212" s="120"/>
    </row>
    <row r="213" spans="1:9" x14ac:dyDescent="0.25">
      <c r="A213" s="4">
        <f>YEAR(Tabela3[[#This Row],[Data]])</f>
        <v>1900</v>
      </c>
      <c r="B213" s="121"/>
      <c r="C213" s="120"/>
      <c r="D213" s="120"/>
      <c r="E213" s="126" t="str">
        <f>IF(Tabela3[[#This Row],[Descrição]]="","",VLOOKUP(Tabela3[[#This Row],[Descrição]],Tabela4[[Descrição]:[Tipo Receita/ Gasto]],2,FALSE))</f>
        <v/>
      </c>
      <c r="F213" s="122"/>
      <c r="G213" s="113" t="str">
        <f>IF(Tabela3[[#This Row],[Valor]]="","",G212+F213)</f>
        <v/>
      </c>
      <c r="H213" s="121"/>
      <c r="I213" s="120"/>
    </row>
    <row r="214" spans="1:9" x14ac:dyDescent="0.25">
      <c r="A214" s="4">
        <f>YEAR(Tabela3[[#This Row],[Data]])</f>
        <v>1900</v>
      </c>
      <c r="B214" s="121"/>
      <c r="C214" s="120"/>
      <c r="D214" s="120"/>
      <c r="E214" s="126" t="str">
        <f>IF(Tabela3[[#This Row],[Descrição]]="","",VLOOKUP(Tabela3[[#This Row],[Descrição]],Tabela4[[Descrição]:[Tipo Receita/ Gasto]],2,FALSE))</f>
        <v/>
      </c>
      <c r="F214" s="122"/>
      <c r="G214" s="113" t="str">
        <f>IF(Tabela3[[#This Row],[Valor]]="","",G213+F214)</f>
        <v/>
      </c>
      <c r="H214" s="121"/>
      <c r="I214" s="120"/>
    </row>
    <row r="215" spans="1:9" x14ac:dyDescent="0.25">
      <c r="A215" s="4">
        <f>YEAR(Tabela3[[#This Row],[Data]])</f>
        <v>1900</v>
      </c>
      <c r="B215" s="121"/>
      <c r="C215" s="120"/>
      <c r="D215" s="120"/>
      <c r="E215" s="126" t="str">
        <f>IF(Tabela3[[#This Row],[Descrição]]="","",VLOOKUP(Tabela3[[#This Row],[Descrição]],Tabela4[[Descrição]:[Tipo Receita/ Gasto]],2,FALSE))</f>
        <v/>
      </c>
      <c r="F215" s="122"/>
      <c r="G215" s="113" t="str">
        <f>IF(Tabela3[[#This Row],[Valor]]="","",G214+F215)</f>
        <v/>
      </c>
      <c r="H215" s="121"/>
      <c r="I215" s="120"/>
    </row>
    <row r="216" spans="1:9" x14ac:dyDescent="0.25">
      <c r="A216" s="4">
        <f>YEAR(Tabela3[[#This Row],[Data]])</f>
        <v>1900</v>
      </c>
      <c r="B216" s="121"/>
      <c r="C216" s="120"/>
      <c r="D216" s="120"/>
      <c r="E216" s="126" t="str">
        <f>IF(Tabela3[[#This Row],[Descrição]]="","",VLOOKUP(Tabela3[[#This Row],[Descrição]],Tabela4[[Descrição]:[Tipo Receita/ Gasto]],2,FALSE))</f>
        <v/>
      </c>
      <c r="F216" s="122"/>
      <c r="G216" s="113" t="str">
        <f>IF(Tabela3[[#This Row],[Valor]]="","",G215+F216)</f>
        <v/>
      </c>
      <c r="H216" s="121"/>
      <c r="I216" s="120"/>
    </row>
    <row r="217" spans="1:9" x14ac:dyDescent="0.25">
      <c r="A217" s="4">
        <f>YEAR(Tabela3[[#This Row],[Data]])</f>
        <v>1900</v>
      </c>
      <c r="B217" s="121"/>
      <c r="C217" s="120"/>
      <c r="D217" s="120"/>
      <c r="E217" s="126" t="str">
        <f>IF(Tabela3[[#This Row],[Descrição]]="","",VLOOKUP(Tabela3[[#This Row],[Descrição]],Tabela4[[Descrição]:[Tipo Receita/ Gasto]],2,FALSE))</f>
        <v/>
      </c>
      <c r="F217" s="122"/>
      <c r="G217" s="113" t="str">
        <f>IF(Tabela3[[#This Row],[Valor]]="","",G216+F217)</f>
        <v/>
      </c>
      <c r="H217" s="121"/>
      <c r="I217" s="120"/>
    </row>
    <row r="218" spans="1:9" x14ac:dyDescent="0.25">
      <c r="A218" s="4">
        <f>YEAR(Tabela3[[#This Row],[Data]])</f>
        <v>1900</v>
      </c>
      <c r="B218" s="121"/>
      <c r="C218" s="120"/>
      <c r="D218" s="120"/>
      <c r="E218" s="126" t="str">
        <f>IF(Tabela3[[#This Row],[Descrição]]="","",VLOOKUP(Tabela3[[#This Row],[Descrição]],Tabela4[[Descrição]:[Tipo Receita/ Gasto]],2,FALSE))</f>
        <v/>
      </c>
      <c r="F218" s="122"/>
      <c r="G218" s="113" t="str">
        <f>IF(Tabela3[[#This Row],[Valor]]="","",G217+F218)</f>
        <v/>
      </c>
      <c r="H218" s="121"/>
      <c r="I218" s="120"/>
    </row>
    <row r="219" spans="1:9" x14ac:dyDescent="0.25">
      <c r="A219" s="4">
        <f>YEAR(Tabela3[[#This Row],[Data]])</f>
        <v>1900</v>
      </c>
      <c r="B219" s="121"/>
      <c r="C219" s="120"/>
      <c r="D219" s="120"/>
      <c r="E219" s="126" t="str">
        <f>IF(Tabela3[[#This Row],[Descrição]]="","",VLOOKUP(Tabela3[[#This Row],[Descrição]],Tabela4[[Descrição]:[Tipo Receita/ Gasto]],2,FALSE))</f>
        <v/>
      </c>
      <c r="F219" s="122"/>
      <c r="G219" s="113" t="str">
        <f>IF(Tabela3[[#This Row],[Valor]]="","",G218+F219)</f>
        <v/>
      </c>
      <c r="H219" s="121"/>
      <c r="I219" s="120"/>
    </row>
    <row r="220" spans="1:9" x14ac:dyDescent="0.25">
      <c r="A220" s="4">
        <f>YEAR(Tabela3[[#This Row],[Data]])</f>
        <v>1900</v>
      </c>
      <c r="B220" s="121"/>
      <c r="C220" s="120"/>
      <c r="D220" s="120"/>
      <c r="E220" s="126" t="str">
        <f>IF(Tabela3[[#This Row],[Descrição]]="","",VLOOKUP(Tabela3[[#This Row],[Descrição]],Tabela4[[Descrição]:[Tipo Receita/ Gasto]],2,FALSE))</f>
        <v/>
      </c>
      <c r="F220" s="122"/>
      <c r="G220" s="113" t="str">
        <f>IF(Tabela3[[#This Row],[Valor]]="","",G219+F220)</f>
        <v/>
      </c>
      <c r="H220" s="121"/>
      <c r="I220" s="120"/>
    </row>
    <row r="221" spans="1:9" x14ac:dyDescent="0.25">
      <c r="A221" s="4">
        <f>YEAR(Tabela3[[#This Row],[Data]])</f>
        <v>1900</v>
      </c>
      <c r="B221" s="121"/>
      <c r="C221" s="120"/>
      <c r="D221" s="120"/>
      <c r="E221" s="126" t="str">
        <f>IF(Tabela3[[#This Row],[Descrição]]="","",VLOOKUP(Tabela3[[#This Row],[Descrição]],Tabela4[[Descrição]:[Tipo Receita/ Gasto]],2,FALSE))</f>
        <v/>
      </c>
      <c r="F221" s="122"/>
      <c r="G221" s="113" t="str">
        <f>IF(Tabela3[[#This Row],[Valor]]="","",G220+F221)</f>
        <v/>
      </c>
      <c r="H221" s="121"/>
      <c r="I221" s="120"/>
    </row>
    <row r="222" spans="1:9" x14ac:dyDescent="0.25">
      <c r="A222" s="4">
        <f>YEAR(Tabela3[[#This Row],[Data]])</f>
        <v>1900</v>
      </c>
      <c r="B222" s="121"/>
      <c r="C222" s="120"/>
      <c r="D222" s="120"/>
      <c r="E222" s="126" t="str">
        <f>IF(Tabela3[[#This Row],[Descrição]]="","",VLOOKUP(Tabela3[[#This Row],[Descrição]],Tabela4[[Descrição]:[Tipo Receita/ Gasto]],2,FALSE))</f>
        <v/>
      </c>
      <c r="F222" s="122"/>
      <c r="G222" s="113" t="str">
        <f>IF(Tabela3[[#This Row],[Valor]]="","",G221+F222)</f>
        <v/>
      </c>
      <c r="H222" s="121"/>
      <c r="I222" s="120"/>
    </row>
    <row r="223" spans="1:9" x14ac:dyDescent="0.25">
      <c r="A223" s="4">
        <f>YEAR(Tabela3[[#This Row],[Data]])</f>
        <v>1900</v>
      </c>
      <c r="B223" s="121"/>
      <c r="C223" s="120"/>
      <c r="D223" s="120"/>
      <c r="E223" s="126" t="str">
        <f>IF(Tabela3[[#This Row],[Descrição]]="","",VLOOKUP(Tabela3[[#This Row],[Descrição]],Tabela4[[Descrição]:[Tipo Receita/ Gasto]],2,FALSE))</f>
        <v/>
      </c>
      <c r="F223" s="122"/>
      <c r="G223" s="113" t="str">
        <f>IF(Tabela3[[#This Row],[Valor]]="","",G222+F223)</f>
        <v/>
      </c>
      <c r="H223" s="121"/>
      <c r="I223" s="120"/>
    </row>
    <row r="224" spans="1:9" x14ac:dyDescent="0.25">
      <c r="A224" s="4">
        <f>YEAR(Tabela3[[#This Row],[Data]])</f>
        <v>1900</v>
      </c>
      <c r="B224" s="121"/>
      <c r="C224" s="120"/>
      <c r="D224" s="120"/>
      <c r="E224" s="126" t="str">
        <f>IF(Tabela3[[#This Row],[Descrição]]="","",VLOOKUP(Tabela3[[#This Row],[Descrição]],Tabela4[[Descrição]:[Tipo Receita/ Gasto]],2,FALSE))</f>
        <v/>
      </c>
      <c r="F224" s="122"/>
      <c r="G224" s="113" t="str">
        <f>IF(Tabela3[[#This Row],[Valor]]="","",G223+F224)</f>
        <v/>
      </c>
      <c r="H224" s="121"/>
      <c r="I224" s="120"/>
    </row>
    <row r="225" spans="1:9" x14ac:dyDescent="0.25">
      <c r="A225" s="4">
        <f>YEAR(Tabela3[[#This Row],[Data]])</f>
        <v>1900</v>
      </c>
      <c r="B225" s="121"/>
      <c r="C225" s="120"/>
      <c r="D225" s="120"/>
      <c r="E225" s="126" t="str">
        <f>IF(Tabela3[[#This Row],[Descrição]]="","",VLOOKUP(Tabela3[[#This Row],[Descrição]],Tabela4[[Descrição]:[Tipo Receita/ Gasto]],2,FALSE))</f>
        <v/>
      </c>
      <c r="F225" s="122"/>
      <c r="G225" s="113" t="str">
        <f>IF(Tabela3[[#This Row],[Valor]]="","",G224+F225)</f>
        <v/>
      </c>
      <c r="H225" s="121"/>
      <c r="I225" s="120"/>
    </row>
    <row r="226" spans="1:9" x14ac:dyDescent="0.25">
      <c r="A226" s="4">
        <f>YEAR(Tabela3[[#This Row],[Data]])</f>
        <v>1900</v>
      </c>
      <c r="B226" s="121"/>
      <c r="C226" s="120"/>
      <c r="D226" s="120"/>
      <c r="E226" s="126" t="str">
        <f>IF(Tabela3[[#This Row],[Descrição]]="","",VLOOKUP(Tabela3[[#This Row],[Descrição]],Tabela4[[Descrição]:[Tipo Receita/ Gasto]],2,FALSE))</f>
        <v/>
      </c>
      <c r="F226" s="122"/>
      <c r="G226" s="113" t="str">
        <f>IF(Tabela3[[#This Row],[Valor]]="","",G225+F226)</f>
        <v/>
      </c>
      <c r="H226" s="121"/>
      <c r="I226" s="120"/>
    </row>
    <row r="227" spans="1:9" x14ac:dyDescent="0.25">
      <c r="A227" s="4">
        <f>YEAR(Tabela3[[#This Row],[Data]])</f>
        <v>1900</v>
      </c>
      <c r="B227" s="121"/>
      <c r="C227" s="120"/>
      <c r="D227" s="120"/>
      <c r="E227" s="126" t="str">
        <f>IF(Tabela3[[#This Row],[Descrição]]="","",VLOOKUP(Tabela3[[#This Row],[Descrição]],Tabela4[[Descrição]:[Tipo Receita/ Gasto]],2,FALSE))</f>
        <v/>
      </c>
      <c r="F227" s="122"/>
      <c r="G227" s="113" t="str">
        <f>IF(Tabela3[[#This Row],[Valor]]="","",G226+F227)</f>
        <v/>
      </c>
      <c r="H227" s="121"/>
      <c r="I227" s="120"/>
    </row>
    <row r="228" spans="1:9" x14ac:dyDescent="0.25">
      <c r="A228" s="4">
        <f>YEAR(Tabela3[[#This Row],[Data]])</f>
        <v>1900</v>
      </c>
      <c r="B228" s="121"/>
      <c r="C228" s="120"/>
      <c r="D228" s="120"/>
      <c r="E228" s="126" t="str">
        <f>IF(Tabela3[[#This Row],[Descrição]]="","",VLOOKUP(Tabela3[[#This Row],[Descrição]],Tabela4[[Descrição]:[Tipo Receita/ Gasto]],2,FALSE))</f>
        <v/>
      </c>
      <c r="F228" s="122"/>
      <c r="G228" s="113" t="str">
        <f>IF(Tabela3[[#This Row],[Valor]]="","",G227+F228)</f>
        <v/>
      </c>
      <c r="H228" s="121"/>
      <c r="I228" s="120"/>
    </row>
    <row r="229" spans="1:9" x14ac:dyDescent="0.25">
      <c r="A229" s="4">
        <f>YEAR(Tabela3[[#This Row],[Data]])</f>
        <v>1900</v>
      </c>
      <c r="B229" s="121"/>
      <c r="C229" s="120"/>
      <c r="D229" s="120"/>
      <c r="E229" s="126" t="str">
        <f>IF(Tabela3[[#This Row],[Descrição]]="","",VLOOKUP(Tabela3[[#This Row],[Descrição]],Tabela4[[Descrição]:[Tipo Receita/ Gasto]],2,FALSE))</f>
        <v/>
      </c>
      <c r="F229" s="122"/>
      <c r="G229" s="113" t="str">
        <f>IF(Tabela3[[#This Row],[Valor]]="","",G228+F229)</f>
        <v/>
      </c>
      <c r="H229" s="121"/>
      <c r="I229" s="120"/>
    </row>
    <row r="230" spans="1:9" x14ac:dyDescent="0.25">
      <c r="A230" s="4">
        <f>YEAR(Tabela3[[#This Row],[Data]])</f>
        <v>1900</v>
      </c>
      <c r="B230" s="121"/>
      <c r="C230" s="120"/>
      <c r="D230" s="120"/>
      <c r="E230" s="126" t="str">
        <f>IF(Tabela3[[#This Row],[Descrição]]="","",VLOOKUP(Tabela3[[#This Row],[Descrição]],Tabela4[[Descrição]:[Tipo Receita/ Gasto]],2,FALSE))</f>
        <v/>
      </c>
      <c r="F230" s="122"/>
      <c r="G230" s="113" t="str">
        <f>IF(Tabela3[[#This Row],[Valor]]="","",G229+F230)</f>
        <v/>
      </c>
      <c r="H230" s="121"/>
      <c r="I230" s="120"/>
    </row>
    <row r="231" spans="1:9" x14ac:dyDescent="0.25">
      <c r="A231" s="4">
        <f>YEAR(Tabela3[[#This Row],[Data]])</f>
        <v>1900</v>
      </c>
      <c r="B231" s="121"/>
      <c r="C231" s="120"/>
      <c r="D231" s="120"/>
      <c r="E231" s="126" t="str">
        <f>IF(Tabela3[[#This Row],[Descrição]]="","",VLOOKUP(Tabela3[[#This Row],[Descrição]],Tabela4[[Descrição]:[Tipo Receita/ Gasto]],2,FALSE))</f>
        <v/>
      </c>
      <c r="F231" s="122"/>
      <c r="G231" s="113" t="str">
        <f>IF(Tabela3[[#This Row],[Valor]]="","",G230+F231)</f>
        <v/>
      </c>
      <c r="H231" s="121"/>
      <c r="I231" s="120"/>
    </row>
    <row r="232" spans="1:9" x14ac:dyDescent="0.25">
      <c r="A232" s="4">
        <f>YEAR(Tabela3[[#This Row],[Data]])</f>
        <v>1900</v>
      </c>
      <c r="B232" s="121"/>
      <c r="C232" s="120"/>
      <c r="D232" s="120"/>
      <c r="E232" s="126" t="str">
        <f>IF(Tabela3[[#This Row],[Descrição]]="","",VLOOKUP(Tabela3[[#This Row],[Descrição]],Tabela4[[Descrição]:[Tipo Receita/ Gasto]],2,FALSE))</f>
        <v/>
      </c>
      <c r="F232" s="122"/>
      <c r="G232" s="113" t="str">
        <f>IF(Tabela3[[#This Row],[Valor]]="","",G231+F232)</f>
        <v/>
      </c>
      <c r="H232" s="121"/>
      <c r="I232" s="120"/>
    </row>
    <row r="233" spans="1:9" x14ac:dyDescent="0.25">
      <c r="A233" s="4">
        <f>YEAR(Tabela3[[#This Row],[Data]])</f>
        <v>1900</v>
      </c>
      <c r="B233" s="121"/>
      <c r="C233" s="120"/>
      <c r="D233" s="120"/>
      <c r="E233" s="126" t="str">
        <f>IF(Tabela3[[#This Row],[Descrição]]="","",VLOOKUP(Tabela3[[#This Row],[Descrição]],Tabela4[[Descrição]:[Tipo Receita/ Gasto]],2,FALSE))</f>
        <v/>
      </c>
      <c r="F233" s="122"/>
      <c r="G233" s="113" t="str">
        <f>IF(Tabela3[[#This Row],[Valor]]="","",G232+F233)</f>
        <v/>
      </c>
      <c r="H233" s="121"/>
      <c r="I233" s="120"/>
    </row>
    <row r="234" spans="1:9" x14ac:dyDescent="0.25">
      <c r="A234" s="4">
        <f>YEAR(Tabela3[[#This Row],[Data]])</f>
        <v>1900</v>
      </c>
      <c r="B234" s="121"/>
      <c r="C234" s="120"/>
      <c r="D234" s="120"/>
      <c r="E234" s="126" t="str">
        <f>IF(Tabela3[[#This Row],[Descrição]]="","",VLOOKUP(Tabela3[[#This Row],[Descrição]],Tabela4[[Descrição]:[Tipo Receita/ Gasto]],2,FALSE))</f>
        <v/>
      </c>
      <c r="F234" s="122"/>
      <c r="G234" s="113" t="str">
        <f>IF(Tabela3[[#This Row],[Valor]]="","",G233+F234)</f>
        <v/>
      </c>
      <c r="H234" s="121"/>
      <c r="I234" s="120"/>
    </row>
    <row r="235" spans="1:9" x14ac:dyDescent="0.25">
      <c r="A235" s="4">
        <f>YEAR(Tabela3[[#This Row],[Data]])</f>
        <v>1900</v>
      </c>
      <c r="B235" s="121"/>
      <c r="C235" s="120"/>
      <c r="D235" s="120"/>
      <c r="E235" s="126" t="str">
        <f>IF(Tabela3[[#This Row],[Descrição]]="","",VLOOKUP(Tabela3[[#This Row],[Descrição]],Tabela4[[Descrição]:[Tipo Receita/ Gasto]],2,FALSE))</f>
        <v/>
      </c>
      <c r="F235" s="122"/>
      <c r="G235" s="113" t="str">
        <f>IF(Tabela3[[#This Row],[Valor]]="","",G234+F235)</f>
        <v/>
      </c>
      <c r="H235" s="121"/>
      <c r="I235" s="120"/>
    </row>
    <row r="236" spans="1:9" x14ac:dyDescent="0.25">
      <c r="A236" s="4">
        <f>YEAR(Tabela3[[#This Row],[Data]])</f>
        <v>1900</v>
      </c>
      <c r="B236" s="121"/>
      <c r="C236" s="120"/>
      <c r="D236" s="120"/>
      <c r="E236" s="126" t="str">
        <f>IF(Tabela3[[#This Row],[Descrição]]="","",VLOOKUP(Tabela3[[#This Row],[Descrição]],Tabela4[[Descrição]:[Tipo Receita/ Gasto]],2,FALSE))</f>
        <v/>
      </c>
      <c r="F236" s="122"/>
      <c r="G236" s="113" t="str">
        <f>IF(Tabela3[[#This Row],[Valor]]="","",G235+F236)</f>
        <v/>
      </c>
      <c r="H236" s="121"/>
      <c r="I236" s="120"/>
    </row>
    <row r="237" spans="1:9" x14ac:dyDescent="0.25">
      <c r="A237" s="4">
        <f>YEAR(Tabela3[[#This Row],[Data]])</f>
        <v>1900</v>
      </c>
      <c r="B237" s="121"/>
      <c r="C237" s="120"/>
      <c r="D237" s="120"/>
      <c r="E237" s="126" t="str">
        <f>IF(Tabela3[[#This Row],[Descrição]]="","",VLOOKUP(Tabela3[[#This Row],[Descrição]],Tabela4[[Descrição]:[Tipo Receita/ Gasto]],2,FALSE))</f>
        <v/>
      </c>
      <c r="F237" s="122"/>
      <c r="G237" s="113" t="str">
        <f>IF(Tabela3[[#This Row],[Valor]]="","",G236+F237)</f>
        <v/>
      </c>
      <c r="H237" s="121"/>
      <c r="I237" s="120"/>
    </row>
    <row r="238" spans="1:9" x14ac:dyDescent="0.25">
      <c r="A238" s="4">
        <f>YEAR(Tabela3[[#This Row],[Data]])</f>
        <v>1900</v>
      </c>
      <c r="B238" s="121"/>
      <c r="C238" s="120"/>
      <c r="D238" s="120"/>
      <c r="E238" s="126" t="str">
        <f>IF(Tabela3[[#This Row],[Descrição]]="","",VLOOKUP(Tabela3[[#This Row],[Descrição]],Tabela4[[Descrição]:[Tipo Receita/ Gasto]],2,FALSE))</f>
        <v/>
      </c>
      <c r="F238" s="122"/>
      <c r="G238" s="113" t="str">
        <f>IF(Tabela3[[#This Row],[Valor]]="","",G237+F238)</f>
        <v/>
      </c>
      <c r="H238" s="121"/>
      <c r="I238" s="120"/>
    </row>
    <row r="239" spans="1:9" x14ac:dyDescent="0.25">
      <c r="A239" s="4">
        <f>YEAR(Tabela3[[#This Row],[Data]])</f>
        <v>1900</v>
      </c>
      <c r="B239" s="121"/>
      <c r="C239" s="120"/>
      <c r="D239" s="120"/>
      <c r="E239" s="126" t="str">
        <f>IF(Tabela3[[#This Row],[Descrição]]="","",VLOOKUP(Tabela3[[#This Row],[Descrição]],Tabela4[[Descrição]:[Tipo Receita/ Gasto]],2,FALSE))</f>
        <v/>
      </c>
      <c r="F239" s="122"/>
      <c r="G239" s="113" t="str">
        <f>IF(Tabela3[[#This Row],[Valor]]="","",G238+F239)</f>
        <v/>
      </c>
      <c r="H239" s="121"/>
      <c r="I239" s="120"/>
    </row>
    <row r="240" spans="1:9" x14ac:dyDescent="0.25">
      <c r="A240" s="4">
        <f>YEAR(Tabela3[[#This Row],[Data]])</f>
        <v>1900</v>
      </c>
      <c r="B240" s="121"/>
      <c r="C240" s="120"/>
      <c r="D240" s="120"/>
      <c r="E240" s="126" t="str">
        <f>IF(Tabela3[[#This Row],[Descrição]]="","",VLOOKUP(Tabela3[[#This Row],[Descrição]],Tabela4[[Descrição]:[Tipo Receita/ Gasto]],2,FALSE))</f>
        <v/>
      </c>
      <c r="F240" s="122"/>
      <c r="G240" s="113" t="str">
        <f>IF(Tabela3[[#This Row],[Valor]]="","",G239+F240)</f>
        <v/>
      </c>
      <c r="H240" s="121"/>
      <c r="I240" s="120"/>
    </row>
    <row r="241" spans="1:9" x14ac:dyDescent="0.25">
      <c r="A241" s="4">
        <f>YEAR(Tabela3[[#This Row],[Data]])</f>
        <v>1900</v>
      </c>
      <c r="B241" s="121"/>
      <c r="C241" s="120"/>
      <c r="D241" s="120"/>
      <c r="E241" s="126" t="str">
        <f>IF(Tabela3[[#This Row],[Descrição]]="","",VLOOKUP(Tabela3[[#This Row],[Descrição]],Tabela4[[Descrição]:[Tipo Receita/ Gasto]],2,FALSE))</f>
        <v/>
      </c>
      <c r="F241" s="122"/>
      <c r="G241" s="113" t="str">
        <f>IF(Tabela3[[#This Row],[Valor]]="","",G240+F241)</f>
        <v/>
      </c>
      <c r="H241" s="121"/>
      <c r="I241" s="120"/>
    </row>
    <row r="242" spans="1:9" x14ac:dyDescent="0.25">
      <c r="A242" s="4">
        <f>YEAR(Tabela3[[#This Row],[Data]])</f>
        <v>1900</v>
      </c>
      <c r="B242" s="121"/>
      <c r="C242" s="120"/>
      <c r="D242" s="120"/>
      <c r="E242" s="126" t="str">
        <f>IF(Tabela3[[#This Row],[Descrição]]="","",VLOOKUP(Tabela3[[#This Row],[Descrição]],Tabela4[[Descrição]:[Tipo Receita/ Gasto]],2,FALSE))</f>
        <v/>
      </c>
      <c r="F242" s="122"/>
      <c r="G242" s="113" t="str">
        <f>IF(Tabela3[[#This Row],[Valor]]="","",G241+F242)</f>
        <v/>
      </c>
      <c r="H242" s="121"/>
      <c r="I242" s="120"/>
    </row>
    <row r="243" spans="1:9" x14ac:dyDescent="0.25">
      <c r="A243" s="4">
        <f>YEAR(Tabela3[[#This Row],[Data]])</f>
        <v>1900</v>
      </c>
      <c r="B243" s="121"/>
      <c r="C243" s="120"/>
      <c r="D243" s="120"/>
      <c r="E243" s="126" t="str">
        <f>IF(Tabela3[[#This Row],[Descrição]]="","",VLOOKUP(Tabela3[[#This Row],[Descrição]],Tabela4[[Descrição]:[Tipo Receita/ Gasto]],2,FALSE))</f>
        <v/>
      </c>
      <c r="F243" s="122"/>
      <c r="G243" s="113" t="str">
        <f>IF(Tabela3[[#This Row],[Valor]]="","",G242+F243)</f>
        <v/>
      </c>
      <c r="H243" s="121"/>
      <c r="I243" s="120"/>
    </row>
    <row r="244" spans="1:9" x14ac:dyDescent="0.25">
      <c r="A244" s="4">
        <f>YEAR(Tabela3[[#This Row],[Data]])</f>
        <v>1900</v>
      </c>
      <c r="B244" s="121"/>
      <c r="C244" s="120"/>
      <c r="D244" s="120"/>
      <c r="E244" s="126" t="str">
        <f>IF(Tabela3[[#This Row],[Descrição]]="","",VLOOKUP(Tabela3[[#This Row],[Descrição]],Tabela4[[Descrição]:[Tipo Receita/ Gasto]],2,FALSE))</f>
        <v/>
      </c>
      <c r="F244" s="122"/>
      <c r="G244" s="113" t="str">
        <f>IF(Tabela3[[#This Row],[Valor]]="","",G243+F244)</f>
        <v/>
      </c>
      <c r="H244" s="121"/>
      <c r="I244" s="120"/>
    </row>
    <row r="245" spans="1:9" x14ac:dyDescent="0.25">
      <c r="A245" s="4">
        <f>YEAR(Tabela3[[#This Row],[Data]])</f>
        <v>1900</v>
      </c>
      <c r="B245" s="121"/>
      <c r="C245" s="120"/>
      <c r="D245" s="120"/>
      <c r="E245" s="126" t="str">
        <f>IF(Tabela3[[#This Row],[Descrição]]="","",VLOOKUP(Tabela3[[#This Row],[Descrição]],Tabela4[[Descrição]:[Tipo Receita/ Gasto]],2,FALSE))</f>
        <v/>
      </c>
      <c r="F245" s="122"/>
      <c r="G245" s="113" t="str">
        <f>IF(Tabela3[[#This Row],[Valor]]="","",G244+F245)</f>
        <v/>
      </c>
      <c r="H245" s="121"/>
      <c r="I245" s="120"/>
    </row>
    <row r="246" spans="1:9" x14ac:dyDescent="0.25">
      <c r="A246" s="4">
        <f>YEAR(Tabela3[[#This Row],[Data]])</f>
        <v>1900</v>
      </c>
      <c r="B246" s="121"/>
      <c r="C246" s="120"/>
      <c r="D246" s="120"/>
      <c r="E246" s="126" t="str">
        <f>IF(Tabela3[[#This Row],[Descrição]]="","",VLOOKUP(Tabela3[[#This Row],[Descrição]],Tabela4[[Descrição]:[Tipo Receita/ Gasto]],2,FALSE))</f>
        <v/>
      </c>
      <c r="F246" s="122"/>
      <c r="G246" s="113" t="str">
        <f>IF(Tabela3[[#This Row],[Valor]]="","",G245+F246)</f>
        <v/>
      </c>
      <c r="H246" s="121"/>
      <c r="I246" s="120"/>
    </row>
    <row r="247" spans="1:9" x14ac:dyDescent="0.25">
      <c r="A247" s="4">
        <f>YEAR(Tabela3[[#This Row],[Data]])</f>
        <v>1900</v>
      </c>
      <c r="B247" s="121"/>
      <c r="C247" s="120"/>
      <c r="D247" s="120"/>
      <c r="E247" s="126" t="str">
        <f>IF(Tabela3[[#This Row],[Descrição]]="","",VLOOKUP(Tabela3[[#This Row],[Descrição]],Tabela4[[Descrição]:[Tipo Receita/ Gasto]],2,FALSE))</f>
        <v/>
      </c>
      <c r="F247" s="122"/>
      <c r="G247" s="113" t="str">
        <f>IF(Tabela3[[#This Row],[Valor]]="","",G246+F247)</f>
        <v/>
      </c>
      <c r="H247" s="121"/>
      <c r="I247" s="120"/>
    </row>
    <row r="248" spans="1:9" x14ac:dyDescent="0.25">
      <c r="A248" s="4">
        <f>YEAR(Tabela3[[#This Row],[Data]])</f>
        <v>1900</v>
      </c>
      <c r="B248" s="121"/>
      <c r="C248" s="120"/>
      <c r="D248" s="120"/>
      <c r="E248" s="126" t="str">
        <f>IF(Tabela3[[#This Row],[Descrição]]="","",VLOOKUP(Tabela3[[#This Row],[Descrição]],Tabela4[[Descrição]:[Tipo Receita/ Gasto]],2,FALSE))</f>
        <v/>
      </c>
      <c r="F248" s="122"/>
      <c r="G248" s="113" t="str">
        <f>IF(Tabela3[[#This Row],[Valor]]="","",G247+F248)</f>
        <v/>
      </c>
      <c r="H248" s="121"/>
      <c r="I248" s="120"/>
    </row>
    <row r="249" spans="1:9" x14ac:dyDescent="0.25">
      <c r="A249" s="4">
        <f>YEAR(Tabela3[[#This Row],[Data]])</f>
        <v>1900</v>
      </c>
      <c r="B249" s="121"/>
      <c r="C249" s="120"/>
      <c r="D249" s="120"/>
      <c r="E249" s="126" t="str">
        <f>IF(Tabela3[[#This Row],[Descrição]]="","",VLOOKUP(Tabela3[[#This Row],[Descrição]],Tabela4[[Descrição]:[Tipo Receita/ Gasto]],2,FALSE))</f>
        <v/>
      </c>
      <c r="F249" s="122"/>
      <c r="G249" s="113" t="str">
        <f>IF(Tabela3[[#This Row],[Valor]]="","",G248+F249)</f>
        <v/>
      </c>
      <c r="H249" s="121"/>
      <c r="I249" s="120"/>
    </row>
    <row r="250" spans="1:9" x14ac:dyDescent="0.25">
      <c r="A250" s="4">
        <f>YEAR(Tabela3[[#This Row],[Data]])</f>
        <v>1900</v>
      </c>
      <c r="B250" s="121"/>
      <c r="C250" s="120"/>
      <c r="D250" s="120"/>
      <c r="E250" s="126" t="str">
        <f>IF(Tabela3[[#This Row],[Descrição]]="","",VLOOKUP(Tabela3[[#This Row],[Descrição]],Tabela4[[Descrição]:[Tipo Receita/ Gasto]],2,FALSE))</f>
        <v/>
      </c>
      <c r="F250" s="122"/>
      <c r="G250" s="113" t="str">
        <f>IF(Tabela3[[#This Row],[Valor]]="","",G249+F250)</f>
        <v/>
      </c>
      <c r="H250" s="121"/>
      <c r="I250" s="120"/>
    </row>
    <row r="251" spans="1:9" x14ac:dyDescent="0.25">
      <c r="A251" s="4">
        <f>YEAR(Tabela3[[#This Row],[Data]])</f>
        <v>1900</v>
      </c>
      <c r="B251" s="121"/>
      <c r="C251" s="120"/>
      <c r="D251" s="120"/>
      <c r="E251" s="126" t="str">
        <f>IF(Tabela3[[#This Row],[Descrição]]="","",VLOOKUP(Tabela3[[#This Row],[Descrição]],Tabela4[[Descrição]:[Tipo Receita/ Gasto]],2,FALSE))</f>
        <v/>
      </c>
      <c r="F251" s="122"/>
      <c r="G251" s="113" t="str">
        <f>IF(Tabela3[[#This Row],[Valor]]="","",G250+F251)</f>
        <v/>
      </c>
      <c r="H251" s="121"/>
      <c r="I251" s="120"/>
    </row>
    <row r="252" spans="1:9" x14ac:dyDescent="0.25">
      <c r="A252" s="4">
        <f>YEAR(Tabela3[[#This Row],[Data]])</f>
        <v>1900</v>
      </c>
      <c r="B252" s="121"/>
      <c r="C252" s="120"/>
      <c r="D252" s="120"/>
      <c r="E252" s="126" t="str">
        <f>IF(Tabela3[[#This Row],[Descrição]]="","",VLOOKUP(Tabela3[[#This Row],[Descrição]],Tabela4[[Descrição]:[Tipo Receita/ Gasto]],2,FALSE))</f>
        <v/>
      </c>
      <c r="F252" s="122"/>
      <c r="G252" s="113" t="str">
        <f>IF(Tabela3[[#This Row],[Valor]]="","",G251+F252)</f>
        <v/>
      </c>
      <c r="H252" s="121"/>
      <c r="I252" s="120"/>
    </row>
    <row r="253" spans="1:9" x14ac:dyDescent="0.25">
      <c r="A253" s="4">
        <f>YEAR(Tabela3[[#This Row],[Data]])</f>
        <v>1900</v>
      </c>
      <c r="B253" s="121"/>
      <c r="C253" s="120"/>
      <c r="D253" s="120"/>
      <c r="E253" s="126" t="str">
        <f>IF(Tabela3[[#This Row],[Descrição]]="","",VLOOKUP(Tabela3[[#This Row],[Descrição]],Tabela4[[Descrição]:[Tipo Receita/ Gasto]],2,FALSE))</f>
        <v/>
      </c>
      <c r="F253" s="122"/>
      <c r="G253" s="113" t="str">
        <f>IF(Tabela3[[#This Row],[Valor]]="","",G252+F253)</f>
        <v/>
      </c>
      <c r="H253" s="121"/>
      <c r="I253" s="120"/>
    </row>
    <row r="254" spans="1:9" x14ac:dyDescent="0.25">
      <c r="A254" s="4">
        <f>YEAR(Tabela3[[#This Row],[Data]])</f>
        <v>1900</v>
      </c>
      <c r="B254" s="121"/>
      <c r="C254" s="120"/>
      <c r="D254" s="120"/>
      <c r="E254" s="126" t="str">
        <f>IF(Tabela3[[#This Row],[Descrição]]="","",VLOOKUP(Tabela3[[#This Row],[Descrição]],Tabela4[[Descrição]:[Tipo Receita/ Gasto]],2,FALSE))</f>
        <v/>
      </c>
      <c r="F254" s="122"/>
      <c r="G254" s="113" t="str">
        <f>IF(Tabela3[[#This Row],[Valor]]="","",G253+F254)</f>
        <v/>
      </c>
      <c r="H254" s="121"/>
      <c r="I254" s="120"/>
    </row>
    <row r="255" spans="1:9" x14ac:dyDescent="0.25">
      <c r="A255" s="4">
        <f>YEAR(Tabela3[[#This Row],[Data]])</f>
        <v>1900</v>
      </c>
      <c r="B255" s="121"/>
      <c r="C255" s="120"/>
      <c r="D255" s="120"/>
      <c r="E255" s="126" t="str">
        <f>IF(Tabela3[[#This Row],[Descrição]]="","",VLOOKUP(Tabela3[[#This Row],[Descrição]],Tabela4[[Descrição]:[Tipo Receita/ Gasto]],2,FALSE))</f>
        <v/>
      </c>
      <c r="F255" s="122"/>
      <c r="G255" s="113" t="str">
        <f>IF(Tabela3[[#This Row],[Valor]]="","",G254+F255)</f>
        <v/>
      </c>
      <c r="H255" s="121"/>
      <c r="I255" s="120"/>
    </row>
    <row r="256" spans="1:9" x14ac:dyDescent="0.25">
      <c r="A256" s="4">
        <f>YEAR(Tabela3[[#This Row],[Data]])</f>
        <v>1900</v>
      </c>
      <c r="B256" s="121"/>
      <c r="C256" s="120"/>
      <c r="D256" s="120"/>
      <c r="E256" s="126" t="str">
        <f>IF(Tabela3[[#This Row],[Descrição]]="","",VLOOKUP(Tabela3[[#This Row],[Descrição]],Tabela4[[Descrição]:[Tipo Receita/ Gasto]],2,FALSE))</f>
        <v/>
      </c>
      <c r="F256" s="122"/>
      <c r="G256" s="113" t="str">
        <f>IF(Tabela3[[#This Row],[Valor]]="","",G255+F256)</f>
        <v/>
      </c>
      <c r="H256" s="121"/>
      <c r="I256" s="120"/>
    </row>
    <row r="257" spans="1:9" x14ac:dyDescent="0.25">
      <c r="A257" s="4">
        <f>YEAR(Tabela3[[#This Row],[Data]])</f>
        <v>1900</v>
      </c>
      <c r="B257" s="121"/>
      <c r="C257" s="120"/>
      <c r="D257" s="120"/>
      <c r="E257" s="126" t="str">
        <f>IF(Tabela3[[#This Row],[Descrição]]="","",VLOOKUP(Tabela3[[#This Row],[Descrição]],Tabela4[[Descrição]:[Tipo Receita/ Gasto]],2,FALSE))</f>
        <v/>
      </c>
      <c r="F257" s="122"/>
      <c r="G257" s="113" t="str">
        <f>IF(Tabela3[[#This Row],[Valor]]="","",G256+F257)</f>
        <v/>
      </c>
      <c r="H257" s="121"/>
      <c r="I257" s="120"/>
    </row>
    <row r="258" spans="1:9" x14ac:dyDescent="0.25">
      <c r="A258" s="4">
        <f>YEAR(Tabela3[[#This Row],[Data]])</f>
        <v>1900</v>
      </c>
      <c r="B258" s="121"/>
      <c r="C258" s="120"/>
      <c r="D258" s="120"/>
      <c r="E258" s="126" t="str">
        <f>IF(Tabela3[[#This Row],[Descrição]]="","",VLOOKUP(Tabela3[[#This Row],[Descrição]],Tabela4[[Descrição]:[Tipo Receita/ Gasto]],2,FALSE))</f>
        <v/>
      </c>
      <c r="F258" s="122"/>
      <c r="G258" s="113" t="str">
        <f>IF(Tabela3[[#This Row],[Valor]]="","",G257+F258)</f>
        <v/>
      </c>
      <c r="H258" s="121"/>
      <c r="I258" s="120"/>
    </row>
    <row r="259" spans="1:9" x14ac:dyDescent="0.25">
      <c r="A259" s="4">
        <f>YEAR(Tabela3[[#This Row],[Data]])</f>
        <v>1900</v>
      </c>
      <c r="B259" s="121"/>
      <c r="C259" s="120"/>
      <c r="D259" s="120"/>
      <c r="E259" s="126" t="str">
        <f>IF(Tabela3[[#This Row],[Descrição]]="","",VLOOKUP(Tabela3[[#This Row],[Descrição]],Tabela4[[Descrição]:[Tipo Receita/ Gasto]],2,FALSE))</f>
        <v/>
      </c>
      <c r="F259" s="122"/>
      <c r="G259" s="113" t="str">
        <f>IF(Tabela3[[#This Row],[Valor]]="","",G258+F259)</f>
        <v/>
      </c>
      <c r="H259" s="121"/>
      <c r="I259" s="120"/>
    </row>
    <row r="260" spans="1:9" x14ac:dyDescent="0.25">
      <c r="A260" s="4">
        <f>YEAR(Tabela3[[#This Row],[Data]])</f>
        <v>1900</v>
      </c>
      <c r="B260" s="121"/>
      <c r="C260" s="120"/>
      <c r="D260" s="120"/>
      <c r="E260" s="126" t="str">
        <f>IF(Tabela3[[#This Row],[Descrição]]="","",VLOOKUP(Tabela3[[#This Row],[Descrição]],Tabela4[[Descrição]:[Tipo Receita/ Gasto]],2,FALSE))</f>
        <v/>
      </c>
      <c r="F260" s="122"/>
      <c r="G260" s="113" t="str">
        <f>IF(Tabela3[[#This Row],[Valor]]="","",G259+F260)</f>
        <v/>
      </c>
      <c r="H260" s="121"/>
      <c r="I260" s="120"/>
    </row>
    <row r="261" spans="1:9" x14ac:dyDescent="0.25">
      <c r="A261" s="4">
        <f>YEAR(Tabela3[[#This Row],[Data]])</f>
        <v>1900</v>
      </c>
      <c r="B261" s="121"/>
      <c r="C261" s="120"/>
      <c r="D261" s="120"/>
      <c r="E261" s="126" t="str">
        <f>IF(Tabela3[[#This Row],[Descrição]]="","",VLOOKUP(Tabela3[[#This Row],[Descrição]],Tabela4[[Descrição]:[Tipo Receita/ Gasto]],2,FALSE))</f>
        <v/>
      </c>
      <c r="F261" s="122"/>
      <c r="G261" s="113" t="str">
        <f>IF(Tabela3[[#This Row],[Valor]]="","",G260+F261)</f>
        <v/>
      </c>
      <c r="H261" s="121"/>
      <c r="I261" s="120"/>
    </row>
    <row r="262" spans="1:9" x14ac:dyDescent="0.25">
      <c r="A262" s="4">
        <f>YEAR(Tabela3[[#This Row],[Data]])</f>
        <v>1900</v>
      </c>
      <c r="B262" s="121"/>
      <c r="C262" s="120"/>
      <c r="D262" s="120"/>
      <c r="E262" s="126" t="str">
        <f>IF(Tabela3[[#This Row],[Descrição]]="","",VLOOKUP(Tabela3[[#This Row],[Descrição]],Tabela4[[Descrição]:[Tipo Receita/ Gasto]],2,FALSE))</f>
        <v/>
      </c>
      <c r="F262" s="122"/>
      <c r="G262" s="113" t="str">
        <f>IF(Tabela3[[#This Row],[Valor]]="","",G261+F262)</f>
        <v/>
      </c>
      <c r="H262" s="121"/>
      <c r="I262" s="120"/>
    </row>
    <row r="263" spans="1:9" x14ac:dyDescent="0.25">
      <c r="A263" s="4">
        <f>YEAR(Tabela3[[#This Row],[Data]])</f>
        <v>1900</v>
      </c>
      <c r="B263" s="121"/>
      <c r="C263" s="120"/>
      <c r="D263" s="120"/>
      <c r="E263" s="126" t="str">
        <f>IF(Tabela3[[#This Row],[Descrição]]="","",VLOOKUP(Tabela3[[#This Row],[Descrição]],Tabela4[[Descrição]:[Tipo Receita/ Gasto]],2,FALSE))</f>
        <v/>
      </c>
      <c r="F263" s="122"/>
      <c r="G263" s="113" t="str">
        <f>IF(Tabela3[[#This Row],[Valor]]="","",G262+F263)</f>
        <v/>
      </c>
      <c r="H263" s="121"/>
      <c r="I263" s="120"/>
    </row>
    <row r="264" spans="1:9" x14ac:dyDescent="0.25">
      <c r="A264" s="4">
        <f>YEAR(Tabela3[[#This Row],[Data]])</f>
        <v>1900</v>
      </c>
      <c r="B264" s="121"/>
      <c r="C264" s="120"/>
      <c r="D264" s="120"/>
      <c r="E264" s="126" t="str">
        <f>IF(Tabela3[[#This Row],[Descrição]]="","",VLOOKUP(Tabela3[[#This Row],[Descrição]],Tabela4[[Descrição]:[Tipo Receita/ Gasto]],2,FALSE))</f>
        <v/>
      </c>
      <c r="F264" s="122"/>
      <c r="G264" s="113" t="str">
        <f>IF(Tabela3[[#This Row],[Valor]]="","",G263+F264)</f>
        <v/>
      </c>
      <c r="H264" s="121"/>
      <c r="I264" s="120"/>
    </row>
    <row r="265" spans="1:9" x14ac:dyDescent="0.25">
      <c r="A265" s="4">
        <f>YEAR(Tabela3[[#This Row],[Data]])</f>
        <v>1900</v>
      </c>
      <c r="B265" s="121"/>
      <c r="C265" s="120"/>
      <c r="D265" s="120"/>
      <c r="E265" s="126" t="str">
        <f>IF(Tabela3[[#This Row],[Descrição]]="","",VLOOKUP(Tabela3[[#This Row],[Descrição]],Tabela4[[Descrição]:[Tipo Receita/ Gasto]],2,FALSE))</f>
        <v/>
      </c>
      <c r="F265" s="122"/>
      <c r="G265" s="113" t="str">
        <f>IF(Tabela3[[#This Row],[Valor]]="","",G264+F265)</f>
        <v/>
      </c>
      <c r="H265" s="121"/>
      <c r="I265" s="120"/>
    </row>
    <row r="266" spans="1:9" x14ac:dyDescent="0.25">
      <c r="A266" s="4">
        <f>YEAR(Tabela3[[#This Row],[Data]])</f>
        <v>1900</v>
      </c>
      <c r="B266" s="121"/>
      <c r="C266" s="120"/>
      <c r="D266" s="120"/>
      <c r="E266" s="126" t="str">
        <f>IF(Tabela3[[#This Row],[Descrição]]="","",VLOOKUP(Tabela3[[#This Row],[Descrição]],Tabela4[[Descrição]:[Tipo Receita/ Gasto]],2,FALSE))</f>
        <v/>
      </c>
      <c r="F266" s="122"/>
      <c r="G266" s="113" t="str">
        <f>IF(Tabela3[[#This Row],[Valor]]="","",G265+F266)</f>
        <v/>
      </c>
      <c r="H266" s="121"/>
      <c r="I266" s="120"/>
    </row>
    <row r="267" spans="1:9" x14ac:dyDescent="0.25">
      <c r="A267" s="4">
        <f>YEAR(Tabela3[[#This Row],[Data]])</f>
        <v>1900</v>
      </c>
      <c r="B267" s="121"/>
      <c r="C267" s="120"/>
      <c r="D267" s="120"/>
      <c r="E267" s="126" t="str">
        <f>IF(Tabela3[[#This Row],[Descrição]]="","",VLOOKUP(Tabela3[[#This Row],[Descrição]],Tabela4[[Descrição]:[Tipo Receita/ Gasto]],2,FALSE))</f>
        <v/>
      </c>
      <c r="F267" s="122"/>
      <c r="G267" s="113" t="str">
        <f>IF(Tabela3[[#This Row],[Valor]]="","",G266+F267)</f>
        <v/>
      </c>
      <c r="H267" s="121"/>
      <c r="I267" s="120"/>
    </row>
    <row r="268" spans="1:9" x14ac:dyDescent="0.25">
      <c r="A268" s="4">
        <f>YEAR(Tabela3[[#This Row],[Data]])</f>
        <v>1900</v>
      </c>
      <c r="B268" s="121"/>
      <c r="C268" s="120"/>
      <c r="D268" s="120"/>
      <c r="E268" s="126" t="str">
        <f>IF(Tabela3[[#This Row],[Descrição]]="","",VLOOKUP(Tabela3[[#This Row],[Descrição]],Tabela4[[Descrição]:[Tipo Receita/ Gasto]],2,FALSE))</f>
        <v/>
      </c>
      <c r="F268" s="122"/>
      <c r="G268" s="113" t="str">
        <f>IF(Tabela3[[#This Row],[Valor]]="","",G267+F268)</f>
        <v/>
      </c>
      <c r="H268" s="121"/>
      <c r="I268" s="120"/>
    </row>
    <row r="269" spans="1:9" x14ac:dyDescent="0.25">
      <c r="A269" s="4">
        <f>YEAR(Tabela3[[#This Row],[Data]])</f>
        <v>1900</v>
      </c>
      <c r="B269" s="121"/>
      <c r="C269" s="120"/>
      <c r="D269" s="120"/>
      <c r="E269" s="126" t="str">
        <f>IF(Tabela3[[#This Row],[Descrição]]="","",VLOOKUP(Tabela3[[#This Row],[Descrição]],Tabela4[[Descrição]:[Tipo Receita/ Gasto]],2,FALSE))</f>
        <v/>
      </c>
      <c r="F269" s="122"/>
      <c r="G269" s="113" t="str">
        <f>IF(Tabela3[[#This Row],[Valor]]="","",G268+F269)</f>
        <v/>
      </c>
      <c r="H269" s="121"/>
      <c r="I269" s="120"/>
    </row>
    <row r="270" spans="1:9" x14ac:dyDescent="0.25">
      <c r="A270" s="4">
        <f>YEAR(Tabela3[[#This Row],[Data]])</f>
        <v>1900</v>
      </c>
      <c r="B270" s="121"/>
      <c r="C270" s="120"/>
      <c r="D270" s="120"/>
      <c r="E270" s="126" t="str">
        <f>IF(Tabela3[[#This Row],[Descrição]]="","",VLOOKUP(Tabela3[[#This Row],[Descrição]],Tabela4[[Descrição]:[Tipo Receita/ Gasto]],2,FALSE))</f>
        <v/>
      </c>
      <c r="F270" s="122"/>
      <c r="G270" s="113" t="str">
        <f>IF(Tabela3[[#This Row],[Valor]]="","",G269+F270)</f>
        <v/>
      </c>
      <c r="H270" s="121"/>
      <c r="I270" s="120"/>
    </row>
    <row r="271" spans="1:9" x14ac:dyDescent="0.25">
      <c r="A271" s="4">
        <f>YEAR(Tabela3[[#This Row],[Data]])</f>
        <v>1900</v>
      </c>
      <c r="B271" s="121"/>
      <c r="C271" s="120"/>
      <c r="D271" s="120"/>
      <c r="E271" s="126" t="str">
        <f>IF(Tabela3[[#This Row],[Descrição]]="","",VLOOKUP(Tabela3[[#This Row],[Descrição]],Tabela4[[Descrição]:[Tipo Receita/ Gasto]],2,FALSE))</f>
        <v/>
      </c>
      <c r="F271" s="122"/>
      <c r="G271" s="113" t="str">
        <f>IF(Tabela3[[#This Row],[Valor]]="","",G270+F271)</f>
        <v/>
      </c>
      <c r="H271" s="121"/>
      <c r="I271" s="120"/>
    </row>
    <row r="272" spans="1:9" x14ac:dyDescent="0.25">
      <c r="A272" s="4">
        <f>YEAR(Tabela3[[#This Row],[Data]])</f>
        <v>1900</v>
      </c>
      <c r="B272" s="121"/>
      <c r="C272" s="120"/>
      <c r="D272" s="120"/>
      <c r="E272" s="126" t="str">
        <f>IF(Tabela3[[#This Row],[Descrição]]="","",VLOOKUP(Tabela3[[#This Row],[Descrição]],Tabela4[[Descrição]:[Tipo Receita/ Gasto]],2,FALSE))</f>
        <v/>
      </c>
      <c r="F272" s="122"/>
      <c r="G272" s="113" t="str">
        <f>IF(Tabela3[[#This Row],[Valor]]="","",G271+F272)</f>
        <v/>
      </c>
      <c r="H272" s="121"/>
      <c r="I272" s="120"/>
    </row>
    <row r="273" spans="1:9" x14ac:dyDescent="0.25">
      <c r="A273" s="4">
        <f>YEAR(Tabela3[[#This Row],[Data]])</f>
        <v>1900</v>
      </c>
      <c r="B273" s="121"/>
      <c r="C273" s="120"/>
      <c r="D273" s="120"/>
      <c r="E273" s="126" t="str">
        <f>IF(Tabela3[[#This Row],[Descrição]]="","",VLOOKUP(Tabela3[[#This Row],[Descrição]],Tabela4[[Descrição]:[Tipo Receita/ Gasto]],2,FALSE))</f>
        <v/>
      </c>
      <c r="F273" s="122"/>
      <c r="G273" s="113" t="str">
        <f>IF(Tabela3[[#This Row],[Valor]]="","",G272+F273)</f>
        <v/>
      </c>
      <c r="H273" s="121"/>
      <c r="I273" s="120"/>
    </row>
    <row r="274" spans="1:9" x14ac:dyDescent="0.25">
      <c r="A274" s="4">
        <f>YEAR(Tabela3[[#This Row],[Data]])</f>
        <v>1900</v>
      </c>
      <c r="B274" s="121"/>
      <c r="C274" s="120"/>
      <c r="D274" s="120"/>
      <c r="E274" s="126" t="str">
        <f>IF(Tabela3[[#This Row],[Descrição]]="","",VLOOKUP(Tabela3[[#This Row],[Descrição]],Tabela4[[Descrição]:[Tipo Receita/ Gasto]],2,FALSE))</f>
        <v/>
      </c>
      <c r="F274" s="122"/>
      <c r="G274" s="113" t="str">
        <f>IF(Tabela3[[#This Row],[Valor]]="","",G273+F274)</f>
        <v/>
      </c>
      <c r="H274" s="121"/>
      <c r="I274" s="120"/>
    </row>
    <row r="275" spans="1:9" x14ac:dyDescent="0.25">
      <c r="A275" s="4">
        <f>YEAR(Tabela3[[#This Row],[Data]])</f>
        <v>1900</v>
      </c>
      <c r="B275" s="121"/>
      <c r="C275" s="120"/>
      <c r="D275" s="120"/>
      <c r="E275" s="126" t="str">
        <f>IF(Tabela3[[#This Row],[Descrição]]="","",VLOOKUP(Tabela3[[#This Row],[Descrição]],Tabela4[[Descrição]:[Tipo Receita/ Gasto]],2,FALSE))</f>
        <v/>
      </c>
      <c r="F275" s="122"/>
      <c r="G275" s="113" t="str">
        <f>IF(Tabela3[[#This Row],[Valor]]="","",G274+F275)</f>
        <v/>
      </c>
      <c r="H275" s="121"/>
      <c r="I275" s="120"/>
    </row>
    <row r="276" spans="1:9" x14ac:dyDescent="0.25">
      <c r="A276" s="4">
        <f>YEAR(Tabela3[[#This Row],[Data]])</f>
        <v>1900</v>
      </c>
      <c r="B276" s="121"/>
      <c r="C276" s="120"/>
      <c r="D276" s="120"/>
      <c r="E276" s="126" t="str">
        <f>IF(Tabela3[[#This Row],[Descrição]]="","",VLOOKUP(Tabela3[[#This Row],[Descrição]],Tabela4[[Descrição]:[Tipo Receita/ Gasto]],2,FALSE))</f>
        <v/>
      </c>
      <c r="F276" s="122"/>
      <c r="G276" s="113" t="str">
        <f>IF(Tabela3[[#This Row],[Valor]]="","",G275+F276)</f>
        <v/>
      </c>
      <c r="H276" s="121"/>
      <c r="I276" s="120"/>
    </row>
    <row r="277" spans="1:9" x14ac:dyDescent="0.25">
      <c r="A277" s="4">
        <f>YEAR(Tabela3[[#This Row],[Data]])</f>
        <v>1900</v>
      </c>
      <c r="B277" s="121"/>
      <c r="C277" s="120"/>
      <c r="D277" s="120"/>
      <c r="E277" s="126" t="str">
        <f>IF(Tabela3[[#This Row],[Descrição]]="","",VLOOKUP(Tabela3[[#This Row],[Descrição]],Tabela4[[Descrição]:[Tipo Receita/ Gasto]],2,FALSE))</f>
        <v/>
      </c>
      <c r="F277" s="122"/>
      <c r="G277" s="113" t="str">
        <f>IF(Tabela3[[#This Row],[Valor]]="","",G276+F277)</f>
        <v/>
      </c>
      <c r="H277" s="121"/>
      <c r="I277" s="120"/>
    </row>
    <row r="278" spans="1:9" x14ac:dyDescent="0.25">
      <c r="A278" s="4">
        <f>YEAR(Tabela3[[#This Row],[Data]])</f>
        <v>1900</v>
      </c>
      <c r="B278" s="121"/>
      <c r="C278" s="120"/>
      <c r="D278" s="120"/>
      <c r="E278" s="126" t="str">
        <f>IF(Tabela3[[#This Row],[Descrição]]="","",VLOOKUP(Tabela3[[#This Row],[Descrição]],Tabela4[[Descrição]:[Tipo Receita/ Gasto]],2,FALSE))</f>
        <v/>
      </c>
      <c r="F278" s="122"/>
      <c r="G278" s="113" t="str">
        <f>IF(Tabela3[[#This Row],[Valor]]="","",G277+F278)</f>
        <v/>
      </c>
      <c r="H278" s="121"/>
      <c r="I278" s="120"/>
    </row>
    <row r="279" spans="1:9" x14ac:dyDescent="0.25">
      <c r="A279" s="4">
        <f>YEAR(Tabela3[[#This Row],[Data]])</f>
        <v>1900</v>
      </c>
      <c r="B279" s="121"/>
      <c r="C279" s="120"/>
      <c r="D279" s="120"/>
      <c r="E279" s="126" t="str">
        <f>IF(Tabela3[[#This Row],[Descrição]]="","",VLOOKUP(Tabela3[[#This Row],[Descrição]],Tabela4[[Descrição]:[Tipo Receita/ Gasto]],2,FALSE))</f>
        <v/>
      </c>
      <c r="F279" s="122"/>
      <c r="G279" s="113" t="str">
        <f>IF(Tabela3[[#This Row],[Valor]]="","",G278+F279)</f>
        <v/>
      </c>
      <c r="H279" s="121"/>
      <c r="I279" s="120"/>
    </row>
    <row r="280" spans="1:9" x14ac:dyDescent="0.25">
      <c r="A280" s="4">
        <f>YEAR(Tabela3[[#This Row],[Data]])</f>
        <v>1900</v>
      </c>
      <c r="B280" s="121"/>
      <c r="C280" s="120"/>
      <c r="D280" s="120"/>
      <c r="E280" s="126" t="str">
        <f>IF(Tabela3[[#This Row],[Descrição]]="","",VLOOKUP(Tabela3[[#This Row],[Descrição]],Tabela4[[Descrição]:[Tipo Receita/ Gasto]],2,FALSE))</f>
        <v/>
      </c>
      <c r="F280" s="122"/>
      <c r="G280" s="113" t="str">
        <f>IF(Tabela3[[#This Row],[Valor]]="","",G279+F280)</f>
        <v/>
      </c>
      <c r="H280" s="121"/>
      <c r="I280" s="120"/>
    </row>
    <row r="281" spans="1:9" x14ac:dyDescent="0.25">
      <c r="A281" s="4">
        <f>YEAR(Tabela3[[#This Row],[Data]])</f>
        <v>1900</v>
      </c>
      <c r="B281" s="121"/>
      <c r="C281" s="120"/>
      <c r="D281" s="120"/>
      <c r="E281" s="126" t="str">
        <f>IF(Tabela3[[#This Row],[Descrição]]="","",VLOOKUP(Tabela3[[#This Row],[Descrição]],Tabela4[[Descrição]:[Tipo Receita/ Gasto]],2,FALSE))</f>
        <v/>
      </c>
      <c r="F281" s="122"/>
      <c r="G281" s="113" t="str">
        <f>IF(Tabela3[[#This Row],[Valor]]="","",G280+F281)</f>
        <v/>
      </c>
      <c r="H281" s="121"/>
      <c r="I281" s="120"/>
    </row>
    <row r="282" spans="1:9" x14ac:dyDescent="0.25">
      <c r="A282" s="4">
        <f>YEAR(Tabela3[[#This Row],[Data]])</f>
        <v>1900</v>
      </c>
      <c r="B282" s="121"/>
      <c r="C282" s="120"/>
      <c r="D282" s="120"/>
      <c r="E282" s="126" t="str">
        <f>IF(Tabela3[[#This Row],[Descrição]]="","",VLOOKUP(Tabela3[[#This Row],[Descrição]],Tabela4[[Descrição]:[Tipo Receita/ Gasto]],2,FALSE))</f>
        <v/>
      </c>
      <c r="F282" s="122"/>
      <c r="G282" s="113" t="str">
        <f>IF(Tabela3[[#This Row],[Valor]]="","",G281+F282)</f>
        <v/>
      </c>
      <c r="H282" s="121"/>
      <c r="I282" s="120"/>
    </row>
    <row r="283" spans="1:9" x14ac:dyDescent="0.25">
      <c r="A283" s="4">
        <f>YEAR(Tabela3[[#This Row],[Data]])</f>
        <v>1900</v>
      </c>
      <c r="B283" s="121"/>
      <c r="C283" s="120"/>
      <c r="D283" s="120"/>
      <c r="E283" s="126" t="str">
        <f>IF(Tabela3[[#This Row],[Descrição]]="","",VLOOKUP(Tabela3[[#This Row],[Descrição]],Tabela4[[Descrição]:[Tipo Receita/ Gasto]],2,FALSE))</f>
        <v/>
      </c>
      <c r="F283" s="122"/>
      <c r="G283" s="113" t="str">
        <f>IF(Tabela3[[#This Row],[Valor]]="","",G282+F283)</f>
        <v/>
      </c>
      <c r="H283" s="121"/>
      <c r="I283" s="120"/>
    </row>
    <row r="284" spans="1:9" x14ac:dyDescent="0.25">
      <c r="A284" s="4">
        <f>YEAR(Tabela3[[#This Row],[Data]])</f>
        <v>1900</v>
      </c>
      <c r="B284" s="121"/>
      <c r="C284" s="120"/>
      <c r="D284" s="120"/>
      <c r="E284" s="126" t="str">
        <f>IF(Tabela3[[#This Row],[Descrição]]="","",VLOOKUP(Tabela3[[#This Row],[Descrição]],Tabela4[[Descrição]:[Tipo Receita/ Gasto]],2,FALSE))</f>
        <v/>
      </c>
      <c r="F284" s="122"/>
      <c r="G284" s="113" t="str">
        <f>IF(Tabela3[[#This Row],[Valor]]="","",G283+F284)</f>
        <v/>
      </c>
      <c r="H284" s="121"/>
      <c r="I284" s="120"/>
    </row>
    <row r="285" spans="1:9" x14ac:dyDescent="0.25">
      <c r="A285" s="4">
        <f>YEAR(Tabela3[[#This Row],[Data]])</f>
        <v>1900</v>
      </c>
      <c r="B285" s="121"/>
      <c r="C285" s="120"/>
      <c r="D285" s="120"/>
      <c r="E285" s="126" t="str">
        <f>IF(Tabela3[[#This Row],[Descrição]]="","",VLOOKUP(Tabela3[[#This Row],[Descrição]],Tabela4[[Descrição]:[Tipo Receita/ Gasto]],2,FALSE))</f>
        <v/>
      </c>
      <c r="F285" s="122"/>
      <c r="G285" s="113" t="str">
        <f>IF(Tabela3[[#This Row],[Valor]]="","",G284+F285)</f>
        <v/>
      </c>
      <c r="H285" s="121"/>
      <c r="I285" s="120"/>
    </row>
    <row r="286" spans="1:9" x14ac:dyDescent="0.25">
      <c r="A286" s="4">
        <f>YEAR(Tabela3[[#This Row],[Data]])</f>
        <v>1900</v>
      </c>
      <c r="B286" s="121"/>
      <c r="C286" s="120"/>
      <c r="D286" s="120"/>
      <c r="E286" s="126" t="str">
        <f>IF(Tabela3[[#This Row],[Descrição]]="","",VLOOKUP(Tabela3[[#This Row],[Descrição]],Tabela4[[Descrição]:[Tipo Receita/ Gasto]],2,FALSE))</f>
        <v/>
      </c>
      <c r="F286" s="122"/>
      <c r="G286" s="113" t="str">
        <f>IF(Tabela3[[#This Row],[Valor]]="","",G285+F286)</f>
        <v/>
      </c>
      <c r="H286" s="121"/>
      <c r="I286" s="120"/>
    </row>
    <row r="287" spans="1:9" x14ac:dyDescent="0.25">
      <c r="A287" s="4">
        <f>YEAR(Tabela3[[#This Row],[Data]])</f>
        <v>1900</v>
      </c>
      <c r="B287" s="121"/>
      <c r="C287" s="120"/>
      <c r="D287" s="120"/>
      <c r="E287" s="126" t="str">
        <f>IF(Tabela3[[#This Row],[Descrição]]="","",VLOOKUP(Tabela3[[#This Row],[Descrição]],Tabela4[[Descrição]:[Tipo Receita/ Gasto]],2,FALSE))</f>
        <v/>
      </c>
      <c r="F287" s="122"/>
      <c r="G287" s="113" t="str">
        <f>IF(Tabela3[[#This Row],[Valor]]="","",G286+F287)</f>
        <v/>
      </c>
      <c r="H287" s="121"/>
      <c r="I287" s="120"/>
    </row>
    <row r="288" spans="1:9" x14ac:dyDescent="0.25">
      <c r="A288" s="4">
        <f>YEAR(Tabela3[[#This Row],[Data]])</f>
        <v>1900</v>
      </c>
      <c r="B288" s="121"/>
      <c r="C288" s="120"/>
      <c r="D288" s="120"/>
      <c r="E288" s="126" t="str">
        <f>IF(Tabela3[[#This Row],[Descrição]]="","",VLOOKUP(Tabela3[[#This Row],[Descrição]],Tabela4[[Descrição]:[Tipo Receita/ Gasto]],2,FALSE))</f>
        <v/>
      </c>
      <c r="F288" s="122"/>
      <c r="G288" s="113" t="str">
        <f>IF(Tabela3[[#This Row],[Valor]]="","",G287+F288)</f>
        <v/>
      </c>
      <c r="H288" s="121"/>
      <c r="I288" s="120"/>
    </row>
    <row r="289" spans="1:9" x14ac:dyDescent="0.25">
      <c r="A289" s="4">
        <f>YEAR(Tabela3[[#This Row],[Data]])</f>
        <v>1900</v>
      </c>
      <c r="B289" s="121"/>
      <c r="C289" s="120"/>
      <c r="D289" s="120"/>
      <c r="E289" s="126" t="str">
        <f>IF(Tabela3[[#This Row],[Descrição]]="","",VLOOKUP(Tabela3[[#This Row],[Descrição]],Tabela4[[Descrição]:[Tipo Receita/ Gasto]],2,FALSE))</f>
        <v/>
      </c>
      <c r="F289" s="122"/>
      <c r="G289" s="113" t="str">
        <f>IF(Tabela3[[#This Row],[Valor]]="","",G288+F289)</f>
        <v/>
      </c>
      <c r="H289" s="121"/>
      <c r="I289" s="120"/>
    </row>
    <row r="290" spans="1:9" x14ac:dyDescent="0.25">
      <c r="A290" s="4">
        <f>YEAR(Tabela3[[#This Row],[Data]])</f>
        <v>1900</v>
      </c>
      <c r="B290" s="121"/>
      <c r="C290" s="120"/>
      <c r="D290" s="120"/>
      <c r="E290" s="126" t="str">
        <f>IF(Tabela3[[#This Row],[Descrição]]="","",VLOOKUP(Tabela3[[#This Row],[Descrição]],Tabela4[[Descrição]:[Tipo Receita/ Gasto]],2,FALSE))</f>
        <v/>
      </c>
      <c r="F290" s="122"/>
      <c r="G290" s="113" t="str">
        <f>IF(Tabela3[[#This Row],[Valor]]="","",G289+F290)</f>
        <v/>
      </c>
      <c r="H290" s="121"/>
      <c r="I290" s="120"/>
    </row>
    <row r="291" spans="1:9" x14ac:dyDescent="0.25">
      <c r="A291" s="4">
        <f>YEAR(Tabela3[[#This Row],[Data]])</f>
        <v>1900</v>
      </c>
      <c r="B291" s="121"/>
      <c r="C291" s="120"/>
      <c r="D291" s="120"/>
      <c r="E291" s="126" t="str">
        <f>IF(Tabela3[[#This Row],[Descrição]]="","",VLOOKUP(Tabela3[[#This Row],[Descrição]],Tabela4[[Descrição]:[Tipo Receita/ Gasto]],2,FALSE))</f>
        <v/>
      </c>
      <c r="F291" s="122"/>
      <c r="G291" s="113" t="str">
        <f>IF(Tabela3[[#This Row],[Valor]]="","",G290+F291)</f>
        <v/>
      </c>
      <c r="H291" s="121"/>
      <c r="I291" s="120"/>
    </row>
    <row r="292" spans="1:9" x14ac:dyDescent="0.25">
      <c r="A292" s="4">
        <f>YEAR(Tabela3[[#This Row],[Data]])</f>
        <v>1900</v>
      </c>
      <c r="B292" s="121"/>
      <c r="C292" s="120"/>
      <c r="D292" s="120"/>
      <c r="E292" s="126" t="str">
        <f>IF(Tabela3[[#This Row],[Descrição]]="","",VLOOKUP(Tabela3[[#This Row],[Descrição]],Tabela4[[Descrição]:[Tipo Receita/ Gasto]],2,FALSE))</f>
        <v/>
      </c>
      <c r="F292" s="122"/>
      <c r="G292" s="113" t="str">
        <f>IF(Tabela3[[#This Row],[Valor]]="","",G291+F292)</f>
        <v/>
      </c>
      <c r="H292" s="121"/>
      <c r="I292" s="120"/>
    </row>
    <row r="293" spans="1:9" x14ac:dyDescent="0.25">
      <c r="A293" s="4">
        <f>YEAR(Tabela3[[#This Row],[Data]])</f>
        <v>1900</v>
      </c>
      <c r="B293" s="121"/>
      <c r="C293" s="120"/>
      <c r="D293" s="120"/>
      <c r="E293" s="126" t="str">
        <f>IF(Tabela3[[#This Row],[Descrição]]="","",VLOOKUP(Tabela3[[#This Row],[Descrição]],Tabela4[[Descrição]:[Tipo Receita/ Gasto]],2,FALSE))</f>
        <v/>
      </c>
      <c r="F293" s="122"/>
      <c r="G293" s="113" t="str">
        <f>IF(Tabela3[[#This Row],[Valor]]="","",G292+F293)</f>
        <v/>
      </c>
      <c r="H293" s="121"/>
      <c r="I293" s="120"/>
    </row>
    <row r="294" spans="1:9" x14ac:dyDescent="0.25">
      <c r="A294" s="4">
        <f>YEAR(Tabela3[[#This Row],[Data]])</f>
        <v>1900</v>
      </c>
      <c r="B294" s="121"/>
      <c r="C294" s="120"/>
      <c r="D294" s="120"/>
      <c r="E294" s="126" t="str">
        <f>IF(Tabela3[[#This Row],[Descrição]]="","",VLOOKUP(Tabela3[[#This Row],[Descrição]],Tabela4[[Descrição]:[Tipo Receita/ Gasto]],2,FALSE))</f>
        <v/>
      </c>
      <c r="F294" s="122"/>
      <c r="G294" s="113" t="str">
        <f>IF(Tabela3[[#This Row],[Valor]]="","",G293+F294)</f>
        <v/>
      </c>
      <c r="H294" s="121"/>
      <c r="I294" s="120"/>
    </row>
    <row r="295" spans="1:9" x14ac:dyDescent="0.25">
      <c r="A295" s="4">
        <f>YEAR(Tabela3[[#This Row],[Data]])</f>
        <v>1900</v>
      </c>
      <c r="B295" s="121"/>
      <c r="C295" s="120"/>
      <c r="D295" s="120"/>
      <c r="E295" s="126" t="str">
        <f>IF(Tabela3[[#This Row],[Descrição]]="","",VLOOKUP(Tabela3[[#This Row],[Descrição]],Tabela4[[Descrição]:[Tipo Receita/ Gasto]],2,FALSE))</f>
        <v/>
      </c>
      <c r="F295" s="122"/>
      <c r="G295" s="113" t="str">
        <f>IF(Tabela3[[#This Row],[Valor]]="","",G294+F295)</f>
        <v/>
      </c>
      <c r="H295" s="121"/>
      <c r="I295" s="120"/>
    </row>
    <row r="296" spans="1:9" x14ac:dyDescent="0.25">
      <c r="A296" s="4">
        <f>YEAR(Tabela3[[#This Row],[Data]])</f>
        <v>1900</v>
      </c>
      <c r="B296" s="121"/>
      <c r="C296" s="120"/>
      <c r="D296" s="120"/>
      <c r="E296" s="126" t="str">
        <f>IF(Tabela3[[#This Row],[Descrição]]="","",VLOOKUP(Tabela3[[#This Row],[Descrição]],Tabela4[[Descrição]:[Tipo Receita/ Gasto]],2,FALSE))</f>
        <v/>
      </c>
      <c r="F296" s="122"/>
      <c r="G296" s="113" t="str">
        <f>IF(Tabela3[[#This Row],[Valor]]="","",G295+F296)</f>
        <v/>
      </c>
      <c r="H296" s="121"/>
      <c r="I296" s="120"/>
    </row>
    <row r="297" spans="1:9" x14ac:dyDescent="0.25">
      <c r="A297" s="4">
        <f>YEAR(Tabela3[[#This Row],[Data]])</f>
        <v>1900</v>
      </c>
      <c r="B297" s="121"/>
      <c r="C297" s="120"/>
      <c r="D297" s="120"/>
      <c r="E297" s="126" t="str">
        <f>IF(Tabela3[[#This Row],[Descrição]]="","",VLOOKUP(Tabela3[[#This Row],[Descrição]],Tabela4[[Descrição]:[Tipo Receita/ Gasto]],2,FALSE))</f>
        <v/>
      </c>
      <c r="F297" s="122"/>
      <c r="G297" s="113" t="str">
        <f>IF(Tabela3[[#This Row],[Valor]]="","",G296+F297)</f>
        <v/>
      </c>
      <c r="H297" s="121"/>
      <c r="I297" s="120"/>
    </row>
    <row r="298" spans="1:9" x14ac:dyDescent="0.25">
      <c r="A298" s="4">
        <f>YEAR(Tabela3[[#This Row],[Data]])</f>
        <v>1900</v>
      </c>
      <c r="B298" s="121"/>
      <c r="C298" s="120"/>
      <c r="D298" s="120"/>
      <c r="E298" s="126" t="str">
        <f>IF(Tabela3[[#This Row],[Descrição]]="","",VLOOKUP(Tabela3[[#This Row],[Descrição]],Tabela4[[Descrição]:[Tipo Receita/ Gasto]],2,FALSE))</f>
        <v/>
      </c>
      <c r="F298" s="122"/>
      <c r="G298" s="113" t="str">
        <f>IF(Tabela3[[#This Row],[Valor]]="","",G297+F298)</f>
        <v/>
      </c>
      <c r="H298" s="121"/>
      <c r="I298" s="120"/>
    </row>
    <row r="299" spans="1:9" x14ac:dyDescent="0.25">
      <c r="A299" s="4">
        <f>YEAR(Tabela3[[#This Row],[Data]])</f>
        <v>1900</v>
      </c>
      <c r="B299" s="121"/>
      <c r="C299" s="120"/>
      <c r="D299" s="120"/>
      <c r="E299" s="126" t="str">
        <f>IF(Tabela3[[#This Row],[Descrição]]="","",VLOOKUP(Tabela3[[#This Row],[Descrição]],Tabela4[[Descrição]:[Tipo Receita/ Gasto]],2,FALSE))</f>
        <v/>
      </c>
      <c r="F299" s="122"/>
      <c r="G299" s="113" t="str">
        <f>IF(Tabela3[[#This Row],[Valor]]="","",G298+F299)</f>
        <v/>
      </c>
      <c r="H299" s="121"/>
      <c r="I299" s="120"/>
    </row>
    <row r="300" spans="1:9" x14ac:dyDescent="0.25">
      <c r="A300" s="4">
        <f>YEAR(Tabela3[[#This Row],[Data]])</f>
        <v>1900</v>
      </c>
      <c r="B300" s="121"/>
      <c r="C300" s="120"/>
      <c r="D300" s="120"/>
      <c r="E300" s="126" t="str">
        <f>IF(Tabela3[[#This Row],[Descrição]]="","",VLOOKUP(Tabela3[[#This Row],[Descrição]],Tabela4[[Descrição]:[Tipo Receita/ Gasto]],2,FALSE))</f>
        <v/>
      </c>
      <c r="F300" s="122"/>
      <c r="G300" s="113" t="str">
        <f>IF(Tabela3[[#This Row],[Valor]]="","",G299+F300)</f>
        <v/>
      </c>
      <c r="H300" s="121"/>
      <c r="I300" s="120"/>
    </row>
    <row r="301" spans="1:9" x14ac:dyDescent="0.25">
      <c r="A301" s="4">
        <f>YEAR(Tabela3[[#This Row],[Data]])</f>
        <v>1900</v>
      </c>
      <c r="B301" s="121"/>
      <c r="C301" s="120"/>
      <c r="D301" s="120"/>
      <c r="E301" s="126" t="str">
        <f>IF(Tabela3[[#This Row],[Descrição]]="","",VLOOKUP(Tabela3[[#This Row],[Descrição]],Tabela4[[Descrição]:[Tipo Receita/ Gasto]],2,FALSE))</f>
        <v/>
      </c>
      <c r="F301" s="122"/>
      <c r="G301" s="113" t="str">
        <f>IF(Tabela3[[#This Row],[Valor]]="","",G300+F301)</f>
        <v/>
      </c>
      <c r="H301" s="121"/>
      <c r="I301" s="120"/>
    </row>
    <row r="302" spans="1:9" x14ac:dyDescent="0.25">
      <c r="A302" s="4">
        <f>YEAR(Tabela3[[#This Row],[Data]])</f>
        <v>1900</v>
      </c>
      <c r="B302" s="121"/>
      <c r="C302" s="120"/>
      <c r="D302" s="120"/>
      <c r="E302" s="126" t="str">
        <f>IF(Tabela3[[#This Row],[Descrição]]="","",VLOOKUP(Tabela3[[#This Row],[Descrição]],Tabela4[[Descrição]:[Tipo Receita/ Gasto]],2,FALSE))</f>
        <v/>
      </c>
      <c r="F302" s="122"/>
      <c r="G302" s="113" t="str">
        <f>IF(Tabela3[[#This Row],[Valor]]="","",G301+F302)</f>
        <v/>
      </c>
      <c r="H302" s="121"/>
      <c r="I302" s="120"/>
    </row>
    <row r="303" spans="1:9" x14ac:dyDescent="0.25">
      <c r="A303" s="4">
        <f>YEAR(Tabela3[[#This Row],[Data]])</f>
        <v>1900</v>
      </c>
      <c r="B303" s="121"/>
      <c r="C303" s="120"/>
      <c r="D303" s="120"/>
      <c r="E303" s="126" t="str">
        <f>IF(Tabela3[[#This Row],[Descrição]]="","",VLOOKUP(Tabela3[[#This Row],[Descrição]],Tabela4[[Descrição]:[Tipo Receita/ Gasto]],2,FALSE))</f>
        <v/>
      </c>
      <c r="F303" s="122"/>
      <c r="G303" s="113" t="str">
        <f>IF(Tabela3[[#This Row],[Valor]]="","",G302+F303)</f>
        <v/>
      </c>
      <c r="H303" s="121"/>
      <c r="I303" s="120"/>
    </row>
    <row r="304" spans="1:9" x14ac:dyDescent="0.25">
      <c r="A304" s="4">
        <f>YEAR(Tabela3[[#This Row],[Data]])</f>
        <v>1900</v>
      </c>
      <c r="B304" s="121"/>
      <c r="C304" s="120"/>
      <c r="D304" s="120"/>
      <c r="E304" s="126" t="str">
        <f>IF(Tabela3[[#This Row],[Descrição]]="","",VLOOKUP(Tabela3[[#This Row],[Descrição]],Tabela4[[Descrição]:[Tipo Receita/ Gasto]],2,FALSE))</f>
        <v/>
      </c>
      <c r="F304" s="122"/>
      <c r="G304" s="113" t="str">
        <f>IF(Tabela3[[#This Row],[Valor]]="","",G303+F304)</f>
        <v/>
      </c>
      <c r="H304" s="121"/>
      <c r="I304" s="120"/>
    </row>
    <row r="305" spans="1:9" x14ac:dyDescent="0.25">
      <c r="A305" s="4">
        <f>YEAR(Tabela3[[#This Row],[Data]])</f>
        <v>1900</v>
      </c>
      <c r="B305" s="121"/>
      <c r="C305" s="120"/>
      <c r="D305" s="120"/>
      <c r="E305" s="126" t="str">
        <f>IF(Tabela3[[#This Row],[Descrição]]="","",VLOOKUP(Tabela3[[#This Row],[Descrição]],Tabela4[[Descrição]:[Tipo Receita/ Gasto]],2,FALSE))</f>
        <v/>
      </c>
      <c r="F305" s="122"/>
      <c r="G305" s="113" t="str">
        <f>IF(Tabela3[[#This Row],[Valor]]="","",G304+F305)</f>
        <v/>
      </c>
      <c r="H305" s="121"/>
      <c r="I305" s="120"/>
    </row>
    <row r="306" spans="1:9" x14ac:dyDescent="0.25">
      <c r="A306" s="4">
        <f>YEAR(Tabela3[[#This Row],[Data]])</f>
        <v>1900</v>
      </c>
      <c r="B306" s="121"/>
      <c r="C306" s="120"/>
      <c r="D306" s="120"/>
      <c r="E306" s="126" t="str">
        <f>IF(Tabela3[[#This Row],[Descrição]]="","",VLOOKUP(Tabela3[[#This Row],[Descrição]],Tabela4[[Descrição]:[Tipo Receita/ Gasto]],2,FALSE))</f>
        <v/>
      </c>
      <c r="F306" s="122"/>
      <c r="G306" s="113" t="str">
        <f>IF(Tabela3[[#This Row],[Valor]]="","",G305+F306)</f>
        <v/>
      </c>
      <c r="H306" s="121"/>
      <c r="I306" s="120"/>
    </row>
    <row r="307" spans="1:9" x14ac:dyDescent="0.25">
      <c r="A307" s="4">
        <f>YEAR(Tabela3[[#This Row],[Data]])</f>
        <v>1900</v>
      </c>
      <c r="B307" s="121"/>
      <c r="C307" s="120"/>
      <c r="D307" s="120"/>
      <c r="E307" s="126" t="str">
        <f>IF(Tabela3[[#This Row],[Descrição]]="","",VLOOKUP(Tabela3[[#This Row],[Descrição]],Tabela4[[Descrição]:[Tipo Receita/ Gasto]],2,FALSE))</f>
        <v/>
      </c>
      <c r="F307" s="122"/>
      <c r="G307" s="113" t="str">
        <f>IF(Tabela3[[#This Row],[Valor]]="","",G306+F307)</f>
        <v/>
      </c>
      <c r="H307" s="121"/>
      <c r="I307" s="120"/>
    </row>
    <row r="308" spans="1:9" x14ac:dyDescent="0.25">
      <c r="A308" s="4">
        <f>YEAR(Tabela3[[#This Row],[Data]])</f>
        <v>1900</v>
      </c>
      <c r="B308" s="121"/>
      <c r="C308" s="120"/>
      <c r="D308" s="120"/>
      <c r="E308" s="126" t="str">
        <f>IF(Tabela3[[#This Row],[Descrição]]="","",VLOOKUP(Tabela3[[#This Row],[Descrição]],Tabela4[[Descrição]:[Tipo Receita/ Gasto]],2,FALSE))</f>
        <v/>
      </c>
      <c r="F308" s="122"/>
      <c r="G308" s="113" t="str">
        <f>IF(Tabela3[[#This Row],[Valor]]="","",G307+F308)</f>
        <v/>
      </c>
      <c r="H308" s="121"/>
      <c r="I308" s="120"/>
    </row>
    <row r="309" spans="1:9" x14ac:dyDescent="0.25">
      <c r="A309" s="4">
        <f>YEAR(Tabela3[[#This Row],[Data]])</f>
        <v>1900</v>
      </c>
      <c r="B309" s="121"/>
      <c r="C309" s="120"/>
      <c r="D309" s="120"/>
      <c r="E309" s="126" t="str">
        <f>IF(Tabela3[[#This Row],[Descrição]]="","",VLOOKUP(Tabela3[[#This Row],[Descrição]],Tabela4[[Descrição]:[Tipo Receita/ Gasto]],2,FALSE))</f>
        <v/>
      </c>
      <c r="F309" s="122"/>
      <c r="G309" s="113" t="str">
        <f>IF(Tabela3[[#This Row],[Valor]]="","",G308+F309)</f>
        <v/>
      </c>
      <c r="H309" s="121"/>
      <c r="I309" s="120"/>
    </row>
    <row r="310" spans="1:9" x14ac:dyDescent="0.25">
      <c r="A310" s="4">
        <f>YEAR(Tabela3[[#This Row],[Data]])</f>
        <v>1900</v>
      </c>
      <c r="B310" s="121"/>
      <c r="C310" s="120"/>
      <c r="D310" s="120"/>
      <c r="E310" s="126" t="str">
        <f>IF(Tabela3[[#This Row],[Descrição]]="","",VLOOKUP(Tabela3[[#This Row],[Descrição]],Tabela4[[Descrição]:[Tipo Receita/ Gasto]],2,FALSE))</f>
        <v/>
      </c>
      <c r="F310" s="122"/>
      <c r="G310" s="113" t="str">
        <f>IF(Tabela3[[#This Row],[Valor]]="","",G309+F310)</f>
        <v/>
      </c>
      <c r="H310" s="121"/>
      <c r="I310" s="120"/>
    </row>
    <row r="311" spans="1:9" x14ac:dyDescent="0.25">
      <c r="A311" s="4">
        <f>YEAR(Tabela3[[#This Row],[Data]])</f>
        <v>1900</v>
      </c>
      <c r="B311" s="121"/>
      <c r="C311" s="120"/>
      <c r="D311" s="120"/>
      <c r="E311" s="126" t="str">
        <f>IF(Tabela3[[#This Row],[Descrição]]="","",VLOOKUP(Tabela3[[#This Row],[Descrição]],Tabela4[[Descrição]:[Tipo Receita/ Gasto]],2,FALSE))</f>
        <v/>
      </c>
      <c r="F311" s="122"/>
      <c r="G311" s="113" t="str">
        <f>IF(Tabela3[[#This Row],[Valor]]="","",G310+F311)</f>
        <v/>
      </c>
      <c r="H311" s="121"/>
      <c r="I311" s="120"/>
    </row>
    <row r="312" spans="1:9" x14ac:dyDescent="0.25">
      <c r="A312" s="4">
        <f>YEAR(Tabela3[[#This Row],[Data]])</f>
        <v>1900</v>
      </c>
      <c r="B312" s="121"/>
      <c r="C312" s="120"/>
      <c r="D312" s="120"/>
      <c r="E312" s="126" t="str">
        <f>IF(Tabela3[[#This Row],[Descrição]]="","",VLOOKUP(Tabela3[[#This Row],[Descrição]],Tabela4[[Descrição]:[Tipo Receita/ Gasto]],2,FALSE))</f>
        <v/>
      </c>
      <c r="F312" s="122"/>
      <c r="G312" s="113" t="str">
        <f>IF(Tabela3[[#This Row],[Valor]]="","",G311+F312)</f>
        <v/>
      </c>
      <c r="H312" s="121"/>
      <c r="I312" s="120"/>
    </row>
    <row r="313" spans="1:9" x14ac:dyDescent="0.25">
      <c r="A313" s="4">
        <f>YEAR(Tabela3[[#This Row],[Data]])</f>
        <v>1900</v>
      </c>
      <c r="B313" s="121"/>
      <c r="C313" s="120"/>
      <c r="D313" s="120"/>
      <c r="E313" s="126" t="str">
        <f>IF(Tabela3[[#This Row],[Descrição]]="","",VLOOKUP(Tabela3[[#This Row],[Descrição]],Tabela4[[Descrição]:[Tipo Receita/ Gasto]],2,FALSE))</f>
        <v/>
      </c>
      <c r="F313" s="122"/>
      <c r="G313" s="113" t="str">
        <f>IF(Tabela3[[#This Row],[Valor]]="","",G312+F313)</f>
        <v/>
      </c>
      <c r="H313" s="121"/>
      <c r="I313" s="120"/>
    </row>
    <row r="314" spans="1:9" x14ac:dyDescent="0.25">
      <c r="A314" s="4">
        <f>YEAR(Tabela3[[#This Row],[Data]])</f>
        <v>1900</v>
      </c>
      <c r="B314" s="121"/>
      <c r="C314" s="120"/>
      <c r="D314" s="120"/>
      <c r="E314" s="126" t="str">
        <f>IF(Tabela3[[#This Row],[Descrição]]="","",VLOOKUP(Tabela3[[#This Row],[Descrição]],Tabela4[[Descrição]:[Tipo Receita/ Gasto]],2,FALSE))</f>
        <v/>
      </c>
      <c r="F314" s="122"/>
      <c r="G314" s="113" t="str">
        <f>IF(Tabela3[[#This Row],[Valor]]="","",G313+F314)</f>
        <v/>
      </c>
      <c r="H314" s="121"/>
      <c r="I314" s="120"/>
    </row>
    <row r="315" spans="1:9" x14ac:dyDescent="0.25">
      <c r="A315" s="4">
        <f>YEAR(Tabela3[[#This Row],[Data]])</f>
        <v>1900</v>
      </c>
      <c r="B315" s="121"/>
      <c r="C315" s="120"/>
      <c r="D315" s="120"/>
      <c r="E315" s="126" t="str">
        <f>IF(Tabela3[[#This Row],[Descrição]]="","",VLOOKUP(Tabela3[[#This Row],[Descrição]],Tabela4[[Descrição]:[Tipo Receita/ Gasto]],2,FALSE))</f>
        <v/>
      </c>
      <c r="F315" s="122"/>
      <c r="G315" s="113" t="str">
        <f>IF(Tabela3[[#This Row],[Valor]]="","",G314+F315)</f>
        <v/>
      </c>
      <c r="H315" s="121"/>
      <c r="I315" s="120"/>
    </row>
    <row r="316" spans="1:9" x14ac:dyDescent="0.25">
      <c r="A316" s="4">
        <f>YEAR(Tabela3[[#This Row],[Data]])</f>
        <v>1900</v>
      </c>
      <c r="B316" s="121"/>
      <c r="C316" s="120"/>
      <c r="D316" s="120"/>
      <c r="E316" s="126" t="str">
        <f>IF(Tabela3[[#This Row],[Descrição]]="","",VLOOKUP(Tabela3[[#This Row],[Descrição]],Tabela4[[Descrição]:[Tipo Receita/ Gasto]],2,FALSE))</f>
        <v/>
      </c>
      <c r="F316" s="122"/>
      <c r="G316" s="113" t="str">
        <f>IF(Tabela3[[#This Row],[Valor]]="","",G315+F316)</f>
        <v/>
      </c>
      <c r="H316" s="121"/>
      <c r="I316" s="120"/>
    </row>
    <row r="317" spans="1:9" x14ac:dyDescent="0.25">
      <c r="A317" s="4">
        <f>YEAR(Tabela3[[#This Row],[Data]])</f>
        <v>1900</v>
      </c>
      <c r="B317" s="121"/>
      <c r="C317" s="120"/>
      <c r="D317" s="120"/>
      <c r="E317" s="126" t="str">
        <f>IF(Tabela3[[#This Row],[Descrição]]="","",VLOOKUP(Tabela3[[#This Row],[Descrição]],Tabela4[[Descrição]:[Tipo Receita/ Gasto]],2,FALSE))</f>
        <v/>
      </c>
      <c r="F317" s="122"/>
      <c r="G317" s="113" t="str">
        <f>IF(Tabela3[[#This Row],[Valor]]="","",G316+F317)</f>
        <v/>
      </c>
      <c r="H317" s="121"/>
      <c r="I317" s="120"/>
    </row>
    <row r="318" spans="1:9" x14ac:dyDescent="0.25">
      <c r="A318" s="4">
        <f>YEAR(Tabela3[[#This Row],[Data]])</f>
        <v>1900</v>
      </c>
      <c r="B318" s="121"/>
      <c r="C318" s="120"/>
      <c r="D318" s="120"/>
      <c r="E318" s="126" t="str">
        <f>IF(Tabela3[[#This Row],[Descrição]]="","",VLOOKUP(Tabela3[[#This Row],[Descrição]],Tabela4[[Descrição]:[Tipo Receita/ Gasto]],2,FALSE))</f>
        <v/>
      </c>
      <c r="F318" s="122"/>
      <c r="G318" s="113" t="str">
        <f>IF(Tabela3[[#This Row],[Valor]]="","",G317+F318)</f>
        <v/>
      </c>
      <c r="H318" s="121"/>
      <c r="I318" s="120"/>
    </row>
    <row r="319" spans="1:9" x14ac:dyDescent="0.25">
      <c r="A319" s="4">
        <f>YEAR(Tabela3[[#This Row],[Data]])</f>
        <v>1900</v>
      </c>
      <c r="B319" s="121"/>
      <c r="C319" s="120"/>
      <c r="D319" s="120"/>
      <c r="E319" s="126" t="str">
        <f>IF(Tabela3[[#This Row],[Descrição]]="","",VLOOKUP(Tabela3[[#This Row],[Descrição]],Tabela4[[Descrição]:[Tipo Receita/ Gasto]],2,FALSE))</f>
        <v/>
      </c>
      <c r="F319" s="122"/>
      <c r="G319" s="113" t="str">
        <f>IF(Tabela3[[#This Row],[Valor]]="","",G318+F319)</f>
        <v/>
      </c>
      <c r="H319" s="121"/>
      <c r="I319" s="120"/>
    </row>
    <row r="320" spans="1:9" x14ac:dyDescent="0.25">
      <c r="A320" s="4">
        <f>YEAR(Tabela3[[#This Row],[Data]])</f>
        <v>1900</v>
      </c>
      <c r="B320" s="121"/>
      <c r="C320" s="120"/>
      <c r="D320" s="120"/>
      <c r="E320" s="126" t="str">
        <f>IF(Tabela3[[#This Row],[Descrição]]="","",VLOOKUP(Tabela3[[#This Row],[Descrição]],Tabela4[[Descrição]:[Tipo Receita/ Gasto]],2,FALSE))</f>
        <v/>
      </c>
      <c r="F320" s="122"/>
      <c r="G320" s="113" t="str">
        <f>IF(Tabela3[[#This Row],[Valor]]="","",G319+F320)</f>
        <v/>
      </c>
      <c r="H320" s="121"/>
      <c r="I320" s="120"/>
    </row>
    <row r="321" spans="1:9" x14ac:dyDescent="0.25">
      <c r="A321" s="4">
        <f>YEAR(Tabela3[[#This Row],[Data]])</f>
        <v>1900</v>
      </c>
      <c r="B321" s="121"/>
      <c r="C321" s="120"/>
      <c r="D321" s="120"/>
      <c r="E321" s="126" t="str">
        <f>IF(Tabela3[[#This Row],[Descrição]]="","",VLOOKUP(Tabela3[[#This Row],[Descrição]],Tabela4[[Descrição]:[Tipo Receita/ Gasto]],2,FALSE))</f>
        <v/>
      </c>
      <c r="F321" s="122"/>
      <c r="G321" s="113" t="str">
        <f>IF(Tabela3[[#This Row],[Valor]]="","",G320+F321)</f>
        <v/>
      </c>
      <c r="H321" s="121"/>
      <c r="I321" s="120"/>
    </row>
    <row r="322" spans="1:9" x14ac:dyDescent="0.25">
      <c r="A322" s="4">
        <f>YEAR(Tabela3[[#This Row],[Data]])</f>
        <v>1900</v>
      </c>
      <c r="B322" s="121"/>
      <c r="C322" s="120"/>
      <c r="D322" s="120"/>
      <c r="E322" s="126" t="str">
        <f>IF(Tabela3[[#This Row],[Descrição]]="","",VLOOKUP(Tabela3[[#This Row],[Descrição]],Tabela4[[Descrição]:[Tipo Receita/ Gasto]],2,FALSE))</f>
        <v/>
      </c>
      <c r="F322" s="122"/>
      <c r="G322" s="113" t="str">
        <f>IF(Tabela3[[#This Row],[Valor]]="","",G321+F322)</f>
        <v/>
      </c>
      <c r="H322" s="121"/>
      <c r="I322" s="120"/>
    </row>
    <row r="323" spans="1:9" x14ac:dyDescent="0.25">
      <c r="A323" s="4">
        <f>YEAR(Tabela3[[#This Row],[Data]])</f>
        <v>1900</v>
      </c>
      <c r="B323" s="121"/>
      <c r="C323" s="120"/>
      <c r="D323" s="120"/>
      <c r="E323" s="126" t="str">
        <f>IF(Tabela3[[#This Row],[Descrição]]="","",VLOOKUP(Tabela3[[#This Row],[Descrição]],Tabela4[[Descrição]:[Tipo Receita/ Gasto]],2,FALSE))</f>
        <v/>
      </c>
      <c r="F323" s="122"/>
      <c r="G323" s="113" t="str">
        <f>IF(Tabela3[[#This Row],[Valor]]="","",G322+F323)</f>
        <v/>
      </c>
      <c r="H323" s="121"/>
      <c r="I323" s="120"/>
    </row>
    <row r="324" spans="1:9" x14ac:dyDescent="0.25">
      <c r="A324" s="4">
        <f>YEAR(Tabela3[[#This Row],[Data]])</f>
        <v>1900</v>
      </c>
      <c r="B324" s="121"/>
      <c r="C324" s="120"/>
      <c r="D324" s="120"/>
      <c r="E324" s="126" t="str">
        <f>IF(Tabela3[[#This Row],[Descrição]]="","",VLOOKUP(Tabela3[[#This Row],[Descrição]],Tabela4[[Descrição]:[Tipo Receita/ Gasto]],2,FALSE))</f>
        <v/>
      </c>
      <c r="F324" s="122"/>
      <c r="G324" s="113" t="str">
        <f>IF(Tabela3[[#This Row],[Valor]]="","",G323+F324)</f>
        <v/>
      </c>
      <c r="H324" s="121"/>
      <c r="I324" s="120"/>
    </row>
    <row r="325" spans="1:9" x14ac:dyDescent="0.25">
      <c r="A325" s="4">
        <f>YEAR(Tabela3[[#This Row],[Data]])</f>
        <v>1900</v>
      </c>
      <c r="B325" s="121"/>
      <c r="C325" s="120"/>
      <c r="D325" s="120"/>
      <c r="E325" s="126" t="str">
        <f>IF(Tabela3[[#This Row],[Descrição]]="","",VLOOKUP(Tabela3[[#This Row],[Descrição]],Tabela4[[Descrição]:[Tipo Receita/ Gasto]],2,FALSE))</f>
        <v/>
      </c>
      <c r="F325" s="122"/>
      <c r="G325" s="113" t="str">
        <f>IF(Tabela3[[#This Row],[Valor]]="","",G324+F325)</f>
        <v/>
      </c>
      <c r="H325" s="121"/>
      <c r="I325" s="120"/>
    </row>
    <row r="326" spans="1:9" x14ac:dyDescent="0.25">
      <c r="A326" s="4">
        <f>YEAR(Tabela3[[#This Row],[Data]])</f>
        <v>1900</v>
      </c>
      <c r="B326" s="121"/>
      <c r="C326" s="120"/>
      <c r="D326" s="120"/>
      <c r="E326" s="126" t="str">
        <f>IF(Tabela3[[#This Row],[Descrição]]="","",VLOOKUP(Tabela3[[#This Row],[Descrição]],Tabela4[[Descrição]:[Tipo Receita/ Gasto]],2,FALSE))</f>
        <v/>
      </c>
      <c r="F326" s="122"/>
      <c r="G326" s="113" t="str">
        <f>IF(Tabela3[[#This Row],[Valor]]="","",G325+F326)</f>
        <v/>
      </c>
      <c r="H326" s="121"/>
      <c r="I326" s="120"/>
    </row>
    <row r="327" spans="1:9" x14ac:dyDescent="0.25">
      <c r="A327" s="4">
        <f>YEAR(Tabela3[[#This Row],[Data]])</f>
        <v>1900</v>
      </c>
      <c r="B327" s="121"/>
      <c r="C327" s="120"/>
      <c r="D327" s="120"/>
      <c r="E327" s="126" t="str">
        <f>IF(Tabela3[[#This Row],[Descrição]]="","",VLOOKUP(Tabela3[[#This Row],[Descrição]],Tabela4[[Descrição]:[Tipo Receita/ Gasto]],2,FALSE))</f>
        <v/>
      </c>
      <c r="F327" s="122"/>
      <c r="G327" s="113" t="str">
        <f>IF(Tabela3[[#This Row],[Valor]]="","",G326+F327)</f>
        <v/>
      </c>
      <c r="H327" s="121"/>
      <c r="I327" s="120"/>
    </row>
    <row r="328" spans="1:9" x14ac:dyDescent="0.25">
      <c r="A328" s="4">
        <f>YEAR(Tabela3[[#This Row],[Data]])</f>
        <v>1900</v>
      </c>
      <c r="B328" s="121"/>
      <c r="C328" s="120"/>
      <c r="D328" s="120"/>
      <c r="E328" s="126" t="str">
        <f>IF(Tabela3[[#This Row],[Descrição]]="","",VLOOKUP(Tabela3[[#This Row],[Descrição]],Tabela4[[Descrição]:[Tipo Receita/ Gasto]],2,FALSE))</f>
        <v/>
      </c>
      <c r="F328" s="122"/>
      <c r="G328" s="113" t="str">
        <f>IF(Tabela3[[#This Row],[Valor]]="","",G327+F328)</f>
        <v/>
      </c>
      <c r="H328" s="121"/>
      <c r="I328" s="120"/>
    </row>
    <row r="329" spans="1:9" x14ac:dyDescent="0.25">
      <c r="A329" s="4">
        <f>YEAR(Tabela3[[#This Row],[Data]])</f>
        <v>1900</v>
      </c>
      <c r="B329" s="121"/>
      <c r="C329" s="120"/>
      <c r="D329" s="120"/>
      <c r="E329" s="126" t="str">
        <f>IF(Tabela3[[#This Row],[Descrição]]="","",VLOOKUP(Tabela3[[#This Row],[Descrição]],Tabela4[[Descrição]:[Tipo Receita/ Gasto]],2,FALSE))</f>
        <v/>
      </c>
      <c r="F329" s="122"/>
      <c r="G329" s="113" t="str">
        <f>IF(Tabela3[[#This Row],[Valor]]="","",G328+F329)</f>
        <v/>
      </c>
      <c r="H329" s="121"/>
      <c r="I329" s="120"/>
    </row>
    <row r="330" spans="1:9" x14ac:dyDescent="0.25">
      <c r="A330" s="4">
        <f>YEAR(Tabela3[[#This Row],[Data]])</f>
        <v>1900</v>
      </c>
      <c r="B330" s="121"/>
      <c r="C330" s="120"/>
      <c r="D330" s="120"/>
      <c r="E330" s="126" t="str">
        <f>IF(Tabela3[[#This Row],[Descrição]]="","",VLOOKUP(Tabela3[[#This Row],[Descrição]],Tabela4[[Descrição]:[Tipo Receita/ Gasto]],2,FALSE))</f>
        <v/>
      </c>
      <c r="F330" s="122"/>
      <c r="G330" s="113" t="str">
        <f>IF(Tabela3[[#This Row],[Valor]]="","",G329+F330)</f>
        <v/>
      </c>
      <c r="H330" s="121"/>
      <c r="I330" s="120"/>
    </row>
    <row r="331" spans="1:9" x14ac:dyDescent="0.25">
      <c r="A331" s="4">
        <f>YEAR(Tabela3[[#This Row],[Data]])</f>
        <v>1900</v>
      </c>
      <c r="B331" s="121"/>
      <c r="C331" s="120"/>
      <c r="D331" s="120"/>
      <c r="E331" s="126" t="str">
        <f>IF(Tabela3[[#This Row],[Descrição]]="","",VLOOKUP(Tabela3[[#This Row],[Descrição]],Tabela4[[Descrição]:[Tipo Receita/ Gasto]],2,FALSE))</f>
        <v/>
      </c>
      <c r="F331" s="122"/>
      <c r="G331" s="113" t="str">
        <f>IF(Tabela3[[#This Row],[Valor]]="","",G330+F331)</f>
        <v/>
      </c>
      <c r="H331" s="121"/>
      <c r="I331" s="120"/>
    </row>
    <row r="332" spans="1:9" x14ac:dyDescent="0.25">
      <c r="A332" s="4">
        <f>YEAR(Tabela3[[#This Row],[Data]])</f>
        <v>1900</v>
      </c>
      <c r="B332" s="121"/>
      <c r="C332" s="120"/>
      <c r="D332" s="120"/>
      <c r="E332" s="126" t="str">
        <f>IF(Tabela3[[#This Row],[Descrição]]="","",VLOOKUP(Tabela3[[#This Row],[Descrição]],Tabela4[[Descrição]:[Tipo Receita/ Gasto]],2,FALSE))</f>
        <v/>
      </c>
      <c r="F332" s="122"/>
      <c r="G332" s="113" t="str">
        <f>IF(Tabela3[[#This Row],[Valor]]="","",G331+F332)</f>
        <v/>
      </c>
      <c r="H332" s="121"/>
      <c r="I332" s="120"/>
    </row>
    <row r="333" spans="1:9" x14ac:dyDescent="0.25">
      <c r="A333" s="4">
        <f>YEAR(Tabela3[[#This Row],[Data]])</f>
        <v>1900</v>
      </c>
      <c r="B333" s="121"/>
      <c r="C333" s="120"/>
      <c r="D333" s="120"/>
      <c r="E333" s="126" t="str">
        <f>IF(Tabela3[[#This Row],[Descrição]]="","",VLOOKUP(Tabela3[[#This Row],[Descrição]],Tabela4[[Descrição]:[Tipo Receita/ Gasto]],2,FALSE))</f>
        <v/>
      </c>
      <c r="F333" s="122"/>
      <c r="G333" s="113" t="str">
        <f>IF(Tabela3[[#This Row],[Valor]]="","",G332+F333)</f>
        <v/>
      </c>
      <c r="H333" s="121"/>
      <c r="I333" s="120"/>
    </row>
    <row r="334" spans="1:9" x14ac:dyDescent="0.25">
      <c r="A334" s="4">
        <f>YEAR(Tabela3[[#This Row],[Data]])</f>
        <v>1900</v>
      </c>
      <c r="B334" s="121"/>
      <c r="C334" s="120"/>
      <c r="D334" s="120"/>
      <c r="E334" s="126" t="str">
        <f>IF(Tabela3[[#This Row],[Descrição]]="","",VLOOKUP(Tabela3[[#This Row],[Descrição]],Tabela4[[Descrição]:[Tipo Receita/ Gasto]],2,FALSE))</f>
        <v/>
      </c>
      <c r="F334" s="122"/>
      <c r="G334" s="113" t="str">
        <f>IF(Tabela3[[#This Row],[Valor]]="","",G333+F334)</f>
        <v/>
      </c>
      <c r="H334" s="121"/>
      <c r="I334" s="120"/>
    </row>
    <row r="335" spans="1:9" x14ac:dyDescent="0.25">
      <c r="A335" s="4">
        <f>YEAR(Tabela3[[#This Row],[Data]])</f>
        <v>1900</v>
      </c>
      <c r="B335" s="121"/>
      <c r="C335" s="120"/>
      <c r="D335" s="120"/>
      <c r="E335" s="126" t="str">
        <f>IF(Tabela3[[#This Row],[Descrição]]="","",VLOOKUP(Tabela3[[#This Row],[Descrição]],Tabela4[[Descrição]:[Tipo Receita/ Gasto]],2,FALSE))</f>
        <v/>
      </c>
      <c r="F335" s="122"/>
      <c r="G335" s="113" t="str">
        <f>IF(Tabela3[[#This Row],[Valor]]="","",G334+F335)</f>
        <v/>
      </c>
      <c r="H335" s="121"/>
      <c r="I335" s="120"/>
    </row>
    <row r="336" spans="1:9" x14ac:dyDescent="0.25">
      <c r="A336" s="4">
        <f>YEAR(Tabela3[[#This Row],[Data]])</f>
        <v>1900</v>
      </c>
      <c r="B336" s="121"/>
      <c r="C336" s="120"/>
      <c r="D336" s="120"/>
      <c r="E336" s="126" t="str">
        <f>IF(Tabela3[[#This Row],[Descrição]]="","",VLOOKUP(Tabela3[[#This Row],[Descrição]],Tabela4[[Descrição]:[Tipo Receita/ Gasto]],2,FALSE))</f>
        <v/>
      </c>
      <c r="F336" s="122"/>
      <c r="G336" s="113" t="str">
        <f>IF(Tabela3[[#This Row],[Valor]]="","",G335+F336)</f>
        <v/>
      </c>
      <c r="H336" s="121"/>
      <c r="I336" s="120"/>
    </row>
    <row r="337" spans="1:9" x14ac:dyDescent="0.25">
      <c r="A337" s="4">
        <f>YEAR(Tabela3[[#This Row],[Data]])</f>
        <v>1900</v>
      </c>
      <c r="B337" s="121"/>
      <c r="C337" s="120"/>
      <c r="D337" s="120"/>
      <c r="E337" s="126" t="str">
        <f>IF(Tabela3[[#This Row],[Descrição]]="","",VLOOKUP(Tabela3[[#This Row],[Descrição]],Tabela4[[Descrição]:[Tipo Receita/ Gasto]],2,FALSE))</f>
        <v/>
      </c>
      <c r="F337" s="122"/>
      <c r="G337" s="113" t="str">
        <f>IF(Tabela3[[#This Row],[Valor]]="","",G336+F337)</f>
        <v/>
      </c>
      <c r="H337" s="121"/>
      <c r="I337" s="120"/>
    </row>
    <row r="338" spans="1:9" x14ac:dyDescent="0.25">
      <c r="A338" s="4">
        <f>YEAR(Tabela3[[#This Row],[Data]])</f>
        <v>1900</v>
      </c>
      <c r="B338" s="121"/>
      <c r="C338" s="120"/>
      <c r="D338" s="120"/>
      <c r="E338" s="126" t="str">
        <f>IF(Tabela3[[#This Row],[Descrição]]="","",VLOOKUP(Tabela3[[#This Row],[Descrição]],Tabela4[[Descrição]:[Tipo Receita/ Gasto]],2,FALSE))</f>
        <v/>
      </c>
      <c r="F338" s="122"/>
      <c r="G338" s="113" t="str">
        <f>IF(Tabela3[[#This Row],[Valor]]="","",G337+F338)</f>
        <v/>
      </c>
      <c r="H338" s="121"/>
      <c r="I338" s="120"/>
    </row>
    <row r="339" spans="1:9" x14ac:dyDescent="0.25">
      <c r="A339" s="4">
        <f>YEAR(Tabela3[[#This Row],[Data]])</f>
        <v>1900</v>
      </c>
      <c r="B339" s="121"/>
      <c r="C339" s="120"/>
      <c r="D339" s="120"/>
      <c r="E339" s="126" t="str">
        <f>IF(Tabela3[[#This Row],[Descrição]]="","",VLOOKUP(Tabela3[[#This Row],[Descrição]],Tabela4[[Descrição]:[Tipo Receita/ Gasto]],2,FALSE))</f>
        <v/>
      </c>
      <c r="F339" s="122"/>
      <c r="G339" s="113" t="str">
        <f>IF(Tabela3[[#This Row],[Valor]]="","",G338+F339)</f>
        <v/>
      </c>
      <c r="H339" s="121"/>
      <c r="I339" s="120"/>
    </row>
    <row r="340" spans="1:9" x14ac:dyDescent="0.25">
      <c r="A340" s="4">
        <f>YEAR(Tabela3[[#This Row],[Data]])</f>
        <v>1900</v>
      </c>
      <c r="B340" s="121"/>
      <c r="C340" s="120"/>
      <c r="D340" s="120"/>
      <c r="E340" s="126" t="str">
        <f>IF(Tabela3[[#This Row],[Descrição]]="","",VLOOKUP(Tabela3[[#This Row],[Descrição]],Tabela4[[Descrição]:[Tipo Receita/ Gasto]],2,FALSE))</f>
        <v/>
      </c>
      <c r="F340" s="122"/>
      <c r="G340" s="113" t="str">
        <f>IF(Tabela3[[#This Row],[Valor]]="","",G339+F340)</f>
        <v/>
      </c>
      <c r="H340" s="121"/>
      <c r="I340" s="120"/>
    </row>
    <row r="341" spans="1:9" x14ac:dyDescent="0.25">
      <c r="A341" s="4">
        <f>YEAR(Tabela3[[#This Row],[Data]])</f>
        <v>1900</v>
      </c>
      <c r="B341" s="121"/>
      <c r="C341" s="120"/>
      <c r="D341" s="120"/>
      <c r="E341" s="126" t="str">
        <f>IF(Tabela3[[#This Row],[Descrição]]="","",VLOOKUP(Tabela3[[#This Row],[Descrição]],Tabela4[[Descrição]:[Tipo Receita/ Gasto]],2,FALSE))</f>
        <v/>
      </c>
      <c r="F341" s="122"/>
      <c r="G341" s="113" t="str">
        <f>IF(Tabela3[[#This Row],[Valor]]="","",G340+F341)</f>
        <v/>
      </c>
      <c r="H341" s="121"/>
      <c r="I341" s="120"/>
    </row>
    <row r="342" spans="1:9" x14ac:dyDescent="0.25">
      <c r="A342" s="4">
        <f>YEAR(Tabela3[[#This Row],[Data]])</f>
        <v>1900</v>
      </c>
      <c r="B342" s="121"/>
      <c r="C342" s="120"/>
      <c r="D342" s="120"/>
      <c r="E342" s="126" t="str">
        <f>IF(Tabela3[[#This Row],[Descrição]]="","",VLOOKUP(Tabela3[[#This Row],[Descrição]],Tabela4[[Descrição]:[Tipo Receita/ Gasto]],2,FALSE))</f>
        <v/>
      </c>
      <c r="F342" s="122"/>
      <c r="G342" s="113" t="str">
        <f>IF(Tabela3[[#This Row],[Valor]]="","",G341+F342)</f>
        <v/>
      </c>
      <c r="H342" s="121"/>
      <c r="I342" s="120"/>
    </row>
    <row r="343" spans="1:9" x14ac:dyDescent="0.25">
      <c r="A343" s="4">
        <f>YEAR(Tabela3[[#This Row],[Data]])</f>
        <v>1900</v>
      </c>
      <c r="B343" s="121"/>
      <c r="C343" s="120"/>
      <c r="D343" s="120"/>
      <c r="E343" s="126" t="str">
        <f>IF(Tabela3[[#This Row],[Descrição]]="","",VLOOKUP(Tabela3[[#This Row],[Descrição]],Tabela4[[Descrição]:[Tipo Receita/ Gasto]],2,FALSE))</f>
        <v/>
      </c>
      <c r="F343" s="122"/>
      <c r="G343" s="113" t="str">
        <f>IF(Tabela3[[#This Row],[Valor]]="","",G342+F343)</f>
        <v/>
      </c>
      <c r="H343" s="121"/>
      <c r="I343" s="120"/>
    </row>
    <row r="344" spans="1:9" x14ac:dyDescent="0.25">
      <c r="A344" s="4">
        <f>YEAR(Tabela3[[#This Row],[Data]])</f>
        <v>1900</v>
      </c>
      <c r="B344" s="121"/>
      <c r="C344" s="120"/>
      <c r="D344" s="120"/>
      <c r="E344" s="126" t="str">
        <f>IF(Tabela3[[#This Row],[Descrição]]="","",VLOOKUP(Tabela3[[#This Row],[Descrição]],Tabela4[[Descrição]:[Tipo Receita/ Gasto]],2,FALSE))</f>
        <v/>
      </c>
      <c r="F344" s="122"/>
      <c r="G344" s="113" t="str">
        <f>IF(Tabela3[[#This Row],[Valor]]="","",G343+F344)</f>
        <v/>
      </c>
      <c r="H344" s="121"/>
      <c r="I344" s="120"/>
    </row>
    <row r="345" spans="1:9" x14ac:dyDescent="0.25">
      <c r="A345" s="4">
        <f>YEAR(Tabela3[[#This Row],[Data]])</f>
        <v>1900</v>
      </c>
      <c r="B345" s="121"/>
      <c r="C345" s="120"/>
      <c r="D345" s="120"/>
      <c r="E345" s="126" t="str">
        <f>IF(Tabela3[[#This Row],[Descrição]]="","",VLOOKUP(Tabela3[[#This Row],[Descrição]],Tabela4[[Descrição]:[Tipo Receita/ Gasto]],2,FALSE))</f>
        <v/>
      </c>
      <c r="F345" s="122"/>
      <c r="G345" s="113" t="str">
        <f>IF(Tabela3[[#This Row],[Valor]]="","",G344+F345)</f>
        <v/>
      </c>
      <c r="H345" s="121"/>
      <c r="I345" s="120"/>
    </row>
    <row r="346" spans="1:9" x14ac:dyDescent="0.25">
      <c r="A346" s="4">
        <f>YEAR(Tabela3[[#This Row],[Data]])</f>
        <v>1900</v>
      </c>
      <c r="B346" s="121"/>
      <c r="C346" s="120"/>
      <c r="D346" s="120"/>
      <c r="E346" s="126" t="str">
        <f>IF(Tabela3[[#This Row],[Descrição]]="","",VLOOKUP(Tabela3[[#This Row],[Descrição]],Tabela4[[Descrição]:[Tipo Receita/ Gasto]],2,FALSE))</f>
        <v/>
      </c>
      <c r="F346" s="122"/>
      <c r="G346" s="113" t="str">
        <f>IF(Tabela3[[#This Row],[Valor]]="","",G345+F346)</f>
        <v/>
      </c>
      <c r="H346" s="121"/>
      <c r="I346" s="120"/>
    </row>
    <row r="347" spans="1:9" x14ac:dyDescent="0.25">
      <c r="A347" s="4">
        <f>YEAR(Tabela3[[#This Row],[Data]])</f>
        <v>1900</v>
      </c>
      <c r="B347" s="121"/>
      <c r="C347" s="120"/>
      <c r="D347" s="120"/>
      <c r="E347" s="126" t="str">
        <f>IF(Tabela3[[#This Row],[Descrição]]="","",VLOOKUP(Tabela3[[#This Row],[Descrição]],Tabela4[[Descrição]:[Tipo Receita/ Gasto]],2,FALSE))</f>
        <v/>
      </c>
      <c r="F347" s="122"/>
      <c r="G347" s="113" t="str">
        <f>IF(Tabela3[[#This Row],[Valor]]="","",G346+F347)</f>
        <v/>
      </c>
      <c r="H347" s="121"/>
      <c r="I347" s="120"/>
    </row>
    <row r="348" spans="1:9" x14ac:dyDescent="0.25">
      <c r="A348" s="4">
        <f>YEAR(Tabela3[[#This Row],[Data]])</f>
        <v>1900</v>
      </c>
      <c r="B348" s="121"/>
      <c r="C348" s="120"/>
      <c r="D348" s="120"/>
      <c r="E348" s="126" t="str">
        <f>IF(Tabela3[[#This Row],[Descrição]]="","",VLOOKUP(Tabela3[[#This Row],[Descrição]],Tabela4[[Descrição]:[Tipo Receita/ Gasto]],2,FALSE))</f>
        <v/>
      </c>
      <c r="F348" s="122"/>
      <c r="G348" s="113" t="str">
        <f>IF(Tabela3[[#This Row],[Valor]]="","",G347+F348)</f>
        <v/>
      </c>
      <c r="H348" s="121"/>
      <c r="I348" s="120"/>
    </row>
    <row r="349" spans="1:9" x14ac:dyDescent="0.25">
      <c r="A349" s="4">
        <f>YEAR(Tabela3[[#This Row],[Data]])</f>
        <v>1900</v>
      </c>
      <c r="B349" s="121"/>
      <c r="C349" s="120"/>
      <c r="D349" s="120"/>
      <c r="E349" s="126" t="str">
        <f>IF(Tabela3[[#This Row],[Descrição]]="","",VLOOKUP(Tabela3[[#This Row],[Descrição]],Tabela4[[Descrição]:[Tipo Receita/ Gasto]],2,FALSE))</f>
        <v/>
      </c>
      <c r="F349" s="122"/>
      <c r="G349" s="113" t="str">
        <f>IF(Tabela3[[#This Row],[Valor]]="","",G348+F349)</f>
        <v/>
      </c>
      <c r="H349" s="121"/>
      <c r="I349" s="120"/>
    </row>
    <row r="350" spans="1:9" x14ac:dyDescent="0.25">
      <c r="A350" s="4">
        <f>YEAR(Tabela3[[#This Row],[Data]])</f>
        <v>1900</v>
      </c>
      <c r="B350" s="121"/>
      <c r="C350" s="120"/>
      <c r="D350" s="120"/>
      <c r="E350" s="126" t="str">
        <f>IF(Tabela3[[#This Row],[Descrição]]="","",VLOOKUP(Tabela3[[#This Row],[Descrição]],Tabela4[[Descrição]:[Tipo Receita/ Gasto]],2,FALSE))</f>
        <v/>
      </c>
      <c r="F350" s="122"/>
      <c r="G350" s="113" t="str">
        <f>IF(Tabela3[[#This Row],[Valor]]="","",G349+F350)</f>
        <v/>
      </c>
      <c r="H350" s="121"/>
      <c r="I350" s="120"/>
    </row>
    <row r="351" spans="1:9" x14ac:dyDescent="0.25">
      <c r="A351" s="4">
        <f>YEAR(Tabela3[[#This Row],[Data]])</f>
        <v>1900</v>
      </c>
      <c r="B351" s="121"/>
      <c r="C351" s="120"/>
      <c r="D351" s="120"/>
      <c r="E351" s="126" t="str">
        <f>IF(Tabela3[[#This Row],[Descrição]]="","",VLOOKUP(Tabela3[[#This Row],[Descrição]],Tabela4[[Descrição]:[Tipo Receita/ Gasto]],2,FALSE))</f>
        <v/>
      </c>
      <c r="F351" s="122"/>
      <c r="G351" s="113" t="str">
        <f>IF(Tabela3[[#This Row],[Valor]]="","",G350+F351)</f>
        <v/>
      </c>
      <c r="H351" s="121"/>
      <c r="I351" s="120"/>
    </row>
    <row r="352" spans="1:9" x14ac:dyDescent="0.25">
      <c r="A352" s="4">
        <f>YEAR(Tabela3[[#This Row],[Data]])</f>
        <v>1900</v>
      </c>
      <c r="B352" s="121"/>
      <c r="C352" s="120"/>
      <c r="D352" s="120"/>
      <c r="E352" s="126" t="str">
        <f>IF(Tabela3[[#This Row],[Descrição]]="","",VLOOKUP(Tabela3[[#This Row],[Descrição]],Tabela4[[Descrição]:[Tipo Receita/ Gasto]],2,FALSE))</f>
        <v/>
      </c>
      <c r="F352" s="122"/>
      <c r="G352" s="113" t="str">
        <f>IF(Tabela3[[#This Row],[Valor]]="","",G351+F352)</f>
        <v/>
      </c>
      <c r="H352" s="121"/>
      <c r="I352" s="120"/>
    </row>
    <row r="353" spans="1:9" x14ac:dyDescent="0.25">
      <c r="A353" s="4">
        <f>YEAR(Tabela3[[#This Row],[Data]])</f>
        <v>1900</v>
      </c>
      <c r="B353" s="121"/>
      <c r="C353" s="120"/>
      <c r="D353" s="120"/>
      <c r="E353" s="126" t="str">
        <f>IF(Tabela3[[#This Row],[Descrição]]="","",VLOOKUP(Tabela3[[#This Row],[Descrição]],Tabela4[[Descrição]:[Tipo Receita/ Gasto]],2,FALSE))</f>
        <v/>
      </c>
      <c r="F353" s="122"/>
      <c r="G353" s="113" t="str">
        <f>IF(Tabela3[[#This Row],[Valor]]="","",G352+F353)</f>
        <v/>
      </c>
      <c r="H353" s="121"/>
      <c r="I353" s="120"/>
    </row>
    <row r="354" spans="1:9" x14ac:dyDescent="0.25">
      <c r="A354" s="4">
        <f>YEAR(Tabela3[[#This Row],[Data]])</f>
        <v>1900</v>
      </c>
      <c r="B354" s="121"/>
      <c r="C354" s="120"/>
      <c r="D354" s="120"/>
      <c r="E354" s="126" t="str">
        <f>IF(Tabela3[[#This Row],[Descrição]]="","",VLOOKUP(Tabela3[[#This Row],[Descrição]],Tabela4[[Descrição]:[Tipo Receita/ Gasto]],2,FALSE))</f>
        <v/>
      </c>
      <c r="F354" s="122"/>
      <c r="G354" s="113" t="str">
        <f>IF(Tabela3[[#This Row],[Valor]]="","",G353+F354)</f>
        <v/>
      </c>
      <c r="H354" s="121"/>
      <c r="I354" s="120"/>
    </row>
    <row r="355" spans="1:9" x14ac:dyDescent="0.25">
      <c r="A355" s="4">
        <f>YEAR(Tabela3[[#This Row],[Data]])</f>
        <v>1900</v>
      </c>
      <c r="B355" s="121"/>
      <c r="C355" s="120"/>
      <c r="D355" s="120"/>
      <c r="E355" s="126" t="str">
        <f>IF(Tabela3[[#This Row],[Descrição]]="","",VLOOKUP(Tabela3[[#This Row],[Descrição]],Tabela4[[Descrição]:[Tipo Receita/ Gasto]],2,FALSE))</f>
        <v/>
      </c>
      <c r="F355" s="122"/>
      <c r="G355" s="113" t="str">
        <f>IF(Tabela3[[#This Row],[Valor]]="","",G354+F355)</f>
        <v/>
      </c>
      <c r="H355" s="121"/>
      <c r="I355" s="120"/>
    </row>
    <row r="356" spans="1:9" x14ac:dyDescent="0.25">
      <c r="A356" s="4">
        <f>YEAR(Tabela3[[#This Row],[Data]])</f>
        <v>1900</v>
      </c>
      <c r="B356" s="121"/>
      <c r="C356" s="120"/>
      <c r="D356" s="120"/>
      <c r="E356" s="126" t="str">
        <f>IF(Tabela3[[#This Row],[Descrição]]="","",VLOOKUP(Tabela3[[#This Row],[Descrição]],Tabela4[[Descrição]:[Tipo Receita/ Gasto]],2,FALSE))</f>
        <v/>
      </c>
      <c r="F356" s="122"/>
      <c r="G356" s="113" t="str">
        <f>IF(Tabela3[[#This Row],[Valor]]="","",G355+F356)</f>
        <v/>
      </c>
      <c r="H356" s="121"/>
      <c r="I356" s="120"/>
    </row>
    <row r="357" spans="1:9" x14ac:dyDescent="0.25">
      <c r="A357" s="4">
        <f>YEAR(Tabela3[[#This Row],[Data]])</f>
        <v>1900</v>
      </c>
      <c r="B357" s="121"/>
      <c r="C357" s="120"/>
      <c r="D357" s="120"/>
      <c r="E357" s="126" t="str">
        <f>IF(Tabela3[[#This Row],[Descrição]]="","",VLOOKUP(Tabela3[[#This Row],[Descrição]],Tabela4[[Descrição]:[Tipo Receita/ Gasto]],2,FALSE))</f>
        <v/>
      </c>
      <c r="F357" s="122"/>
      <c r="G357" s="113" t="str">
        <f>IF(Tabela3[[#This Row],[Valor]]="","",G356+F357)</f>
        <v/>
      </c>
      <c r="H357" s="121"/>
      <c r="I357" s="120"/>
    </row>
    <row r="358" spans="1:9" x14ac:dyDescent="0.25">
      <c r="A358" s="4">
        <f>YEAR(Tabela3[[#This Row],[Data]])</f>
        <v>1900</v>
      </c>
      <c r="B358" s="121"/>
      <c r="C358" s="120"/>
      <c r="D358" s="120"/>
      <c r="E358" s="126" t="str">
        <f>IF(Tabela3[[#This Row],[Descrição]]="","",VLOOKUP(Tabela3[[#This Row],[Descrição]],Tabela4[[Descrição]:[Tipo Receita/ Gasto]],2,FALSE))</f>
        <v/>
      </c>
      <c r="F358" s="122"/>
      <c r="G358" s="113" t="str">
        <f>IF(Tabela3[[#This Row],[Valor]]="","",G357+F358)</f>
        <v/>
      </c>
      <c r="H358" s="121"/>
      <c r="I358" s="120"/>
    </row>
    <row r="359" spans="1:9" x14ac:dyDescent="0.25">
      <c r="A359" s="4">
        <f>YEAR(Tabela3[[#This Row],[Data]])</f>
        <v>1900</v>
      </c>
      <c r="B359" s="121"/>
      <c r="C359" s="120"/>
      <c r="D359" s="120"/>
      <c r="E359" s="126" t="str">
        <f>IF(Tabela3[[#This Row],[Descrição]]="","",VLOOKUP(Tabela3[[#This Row],[Descrição]],Tabela4[[Descrição]:[Tipo Receita/ Gasto]],2,FALSE))</f>
        <v/>
      </c>
      <c r="F359" s="122"/>
      <c r="G359" s="113" t="str">
        <f>IF(Tabela3[[#This Row],[Valor]]="","",G358+F359)</f>
        <v/>
      </c>
      <c r="H359" s="121"/>
      <c r="I359" s="120"/>
    </row>
    <row r="360" spans="1:9" x14ac:dyDescent="0.25">
      <c r="A360" s="4">
        <f>YEAR(Tabela3[[#This Row],[Data]])</f>
        <v>1900</v>
      </c>
      <c r="B360" s="121"/>
      <c r="C360" s="120"/>
      <c r="D360" s="120"/>
      <c r="E360" s="126" t="str">
        <f>IF(Tabela3[[#This Row],[Descrição]]="","",VLOOKUP(Tabela3[[#This Row],[Descrição]],Tabela4[[Descrição]:[Tipo Receita/ Gasto]],2,FALSE))</f>
        <v/>
      </c>
      <c r="F360" s="122"/>
      <c r="G360" s="113" t="str">
        <f>IF(Tabela3[[#This Row],[Valor]]="","",G359+F360)</f>
        <v/>
      </c>
      <c r="H360" s="121"/>
      <c r="I360" s="120"/>
    </row>
    <row r="361" spans="1:9" x14ac:dyDescent="0.25">
      <c r="A361" s="4">
        <f>YEAR(Tabela3[[#This Row],[Data]])</f>
        <v>1900</v>
      </c>
      <c r="B361" s="121"/>
      <c r="C361" s="120"/>
      <c r="D361" s="120"/>
      <c r="E361" s="126" t="str">
        <f>IF(Tabela3[[#This Row],[Descrição]]="","",VLOOKUP(Tabela3[[#This Row],[Descrição]],Tabela4[[Descrição]:[Tipo Receita/ Gasto]],2,FALSE))</f>
        <v/>
      </c>
      <c r="F361" s="122"/>
      <c r="G361" s="113" t="str">
        <f>IF(Tabela3[[#This Row],[Valor]]="","",G360+F361)</f>
        <v/>
      </c>
      <c r="H361" s="121"/>
      <c r="I361" s="120"/>
    </row>
    <row r="362" spans="1:9" x14ac:dyDescent="0.25">
      <c r="A362" s="4">
        <f>YEAR(Tabela3[[#This Row],[Data]])</f>
        <v>1900</v>
      </c>
      <c r="B362" s="121"/>
      <c r="C362" s="120"/>
      <c r="D362" s="120"/>
      <c r="E362" s="126" t="str">
        <f>IF(Tabela3[[#This Row],[Descrição]]="","",VLOOKUP(Tabela3[[#This Row],[Descrição]],Tabela4[[Descrição]:[Tipo Receita/ Gasto]],2,FALSE))</f>
        <v/>
      </c>
      <c r="F362" s="122"/>
      <c r="G362" s="113" t="str">
        <f>IF(Tabela3[[#This Row],[Valor]]="","",G361+F362)</f>
        <v/>
      </c>
      <c r="H362" s="121"/>
      <c r="I362" s="120"/>
    </row>
    <row r="363" spans="1:9" x14ac:dyDescent="0.25">
      <c r="A363" s="4">
        <f>YEAR(Tabela3[[#This Row],[Data]])</f>
        <v>1900</v>
      </c>
      <c r="B363" s="121"/>
      <c r="C363" s="120"/>
      <c r="D363" s="120"/>
      <c r="E363" s="126" t="str">
        <f>IF(Tabela3[[#This Row],[Descrição]]="","",VLOOKUP(Tabela3[[#This Row],[Descrição]],Tabela4[[Descrição]:[Tipo Receita/ Gasto]],2,FALSE))</f>
        <v/>
      </c>
      <c r="F363" s="122"/>
      <c r="G363" s="113" t="str">
        <f>IF(Tabela3[[#This Row],[Valor]]="","",G362+F363)</f>
        <v/>
      </c>
      <c r="H363" s="121"/>
      <c r="I363" s="120"/>
    </row>
    <row r="364" spans="1:9" x14ac:dyDescent="0.25">
      <c r="A364" s="4">
        <f>YEAR(Tabela3[[#This Row],[Data]])</f>
        <v>1900</v>
      </c>
      <c r="B364" s="121"/>
      <c r="C364" s="120"/>
      <c r="D364" s="120"/>
      <c r="E364" s="126" t="str">
        <f>IF(Tabela3[[#This Row],[Descrição]]="","",VLOOKUP(Tabela3[[#This Row],[Descrição]],Tabela4[[Descrição]:[Tipo Receita/ Gasto]],2,FALSE))</f>
        <v/>
      </c>
      <c r="F364" s="122"/>
      <c r="G364" s="113" t="str">
        <f>IF(Tabela3[[#This Row],[Valor]]="","",G363+F364)</f>
        <v/>
      </c>
      <c r="H364" s="121"/>
      <c r="I364" s="120"/>
    </row>
    <row r="365" spans="1:9" x14ac:dyDescent="0.25">
      <c r="A365" s="4">
        <f>YEAR(Tabela3[[#This Row],[Data]])</f>
        <v>1900</v>
      </c>
      <c r="B365" s="121"/>
      <c r="C365" s="120"/>
      <c r="D365" s="120"/>
      <c r="E365" s="126" t="str">
        <f>IF(Tabela3[[#This Row],[Descrição]]="","",VLOOKUP(Tabela3[[#This Row],[Descrição]],Tabela4[[Descrição]:[Tipo Receita/ Gasto]],2,FALSE))</f>
        <v/>
      </c>
      <c r="F365" s="122"/>
      <c r="G365" s="113" t="str">
        <f>IF(Tabela3[[#This Row],[Valor]]="","",G364+F365)</f>
        <v/>
      </c>
      <c r="H365" s="121"/>
      <c r="I365" s="120"/>
    </row>
    <row r="366" spans="1:9" x14ac:dyDescent="0.25">
      <c r="A366" s="4">
        <f>YEAR(Tabela3[[#This Row],[Data]])</f>
        <v>1900</v>
      </c>
      <c r="B366" s="121"/>
      <c r="C366" s="120"/>
      <c r="D366" s="120"/>
      <c r="E366" s="126" t="str">
        <f>IF(Tabela3[[#This Row],[Descrição]]="","",VLOOKUP(Tabela3[[#This Row],[Descrição]],Tabela4[[Descrição]:[Tipo Receita/ Gasto]],2,FALSE))</f>
        <v/>
      </c>
      <c r="F366" s="122"/>
      <c r="G366" s="113" t="str">
        <f>IF(Tabela3[[#This Row],[Valor]]="","",G365+F366)</f>
        <v/>
      </c>
      <c r="H366" s="121"/>
      <c r="I366" s="120"/>
    </row>
    <row r="367" spans="1:9" x14ac:dyDescent="0.25">
      <c r="A367" s="4">
        <f>YEAR(Tabela3[[#This Row],[Data]])</f>
        <v>1900</v>
      </c>
      <c r="B367" s="121"/>
      <c r="C367" s="120"/>
      <c r="D367" s="120"/>
      <c r="E367" s="126" t="str">
        <f>IF(Tabela3[[#This Row],[Descrição]]="","",VLOOKUP(Tabela3[[#This Row],[Descrição]],Tabela4[[Descrição]:[Tipo Receita/ Gasto]],2,FALSE))</f>
        <v/>
      </c>
      <c r="F367" s="122"/>
      <c r="G367" s="113" t="str">
        <f>IF(Tabela3[[#This Row],[Valor]]="","",G366+F367)</f>
        <v/>
      </c>
      <c r="H367" s="121"/>
      <c r="I367" s="120"/>
    </row>
    <row r="368" spans="1:9" x14ac:dyDescent="0.25">
      <c r="A368" s="4">
        <f>YEAR(Tabela3[[#This Row],[Data]])</f>
        <v>1900</v>
      </c>
      <c r="B368" s="121"/>
      <c r="C368" s="120"/>
      <c r="D368" s="120"/>
      <c r="E368" s="126" t="str">
        <f>IF(Tabela3[[#This Row],[Descrição]]="","",VLOOKUP(Tabela3[[#This Row],[Descrição]],Tabela4[[Descrição]:[Tipo Receita/ Gasto]],2,FALSE))</f>
        <v/>
      </c>
      <c r="F368" s="122"/>
      <c r="G368" s="113" t="str">
        <f>IF(Tabela3[[#This Row],[Valor]]="","",G367+F368)</f>
        <v/>
      </c>
      <c r="H368" s="121"/>
      <c r="I368" s="120"/>
    </row>
    <row r="369" spans="1:9" x14ac:dyDescent="0.25">
      <c r="A369" s="4">
        <f>YEAR(Tabela3[[#This Row],[Data]])</f>
        <v>1900</v>
      </c>
      <c r="B369" s="121"/>
      <c r="C369" s="120"/>
      <c r="D369" s="120"/>
      <c r="E369" s="126" t="str">
        <f>IF(Tabela3[[#This Row],[Descrição]]="","",VLOOKUP(Tabela3[[#This Row],[Descrição]],Tabela4[[Descrição]:[Tipo Receita/ Gasto]],2,FALSE))</f>
        <v/>
      </c>
      <c r="F369" s="122"/>
      <c r="G369" s="113" t="str">
        <f>IF(Tabela3[[#This Row],[Valor]]="","",G368+F369)</f>
        <v/>
      </c>
      <c r="H369" s="121"/>
      <c r="I369" s="120"/>
    </row>
    <row r="370" spans="1:9" x14ac:dyDescent="0.25">
      <c r="A370" s="4">
        <f>YEAR(Tabela3[[#This Row],[Data]])</f>
        <v>1900</v>
      </c>
      <c r="B370" s="121"/>
      <c r="C370" s="120"/>
      <c r="D370" s="120"/>
      <c r="E370" s="126" t="str">
        <f>IF(Tabela3[[#This Row],[Descrição]]="","",VLOOKUP(Tabela3[[#This Row],[Descrição]],Tabela4[[Descrição]:[Tipo Receita/ Gasto]],2,FALSE))</f>
        <v/>
      </c>
      <c r="F370" s="122"/>
      <c r="G370" s="113" t="str">
        <f>IF(Tabela3[[#This Row],[Valor]]="","",G369+F370)</f>
        <v/>
      </c>
      <c r="H370" s="121"/>
      <c r="I370" s="120"/>
    </row>
    <row r="371" spans="1:9" x14ac:dyDescent="0.25">
      <c r="A371" s="4">
        <f>YEAR(Tabela3[[#This Row],[Data]])</f>
        <v>1900</v>
      </c>
      <c r="B371" s="121"/>
      <c r="C371" s="120"/>
      <c r="D371" s="120"/>
      <c r="E371" s="126" t="str">
        <f>IF(Tabela3[[#This Row],[Descrição]]="","",VLOOKUP(Tabela3[[#This Row],[Descrição]],Tabela4[[Descrição]:[Tipo Receita/ Gasto]],2,FALSE))</f>
        <v/>
      </c>
      <c r="F371" s="122"/>
      <c r="G371" s="113" t="str">
        <f>IF(Tabela3[[#This Row],[Valor]]="","",G370+F371)</f>
        <v/>
      </c>
      <c r="H371" s="121"/>
      <c r="I371" s="120"/>
    </row>
    <row r="372" spans="1:9" x14ac:dyDescent="0.25">
      <c r="A372" s="4">
        <f>YEAR(Tabela3[[#This Row],[Data]])</f>
        <v>1900</v>
      </c>
      <c r="B372" s="121"/>
      <c r="C372" s="120"/>
      <c r="D372" s="120"/>
      <c r="E372" s="126" t="str">
        <f>IF(Tabela3[[#This Row],[Descrição]]="","",VLOOKUP(Tabela3[[#This Row],[Descrição]],Tabela4[[Descrição]:[Tipo Receita/ Gasto]],2,FALSE))</f>
        <v/>
      </c>
      <c r="F372" s="122"/>
      <c r="G372" s="113" t="str">
        <f>IF(Tabela3[[#This Row],[Valor]]="","",G371+F372)</f>
        <v/>
      </c>
      <c r="H372" s="121"/>
      <c r="I372" s="120"/>
    </row>
    <row r="373" spans="1:9" x14ac:dyDescent="0.25">
      <c r="A373" s="4">
        <f>YEAR(Tabela3[[#This Row],[Data]])</f>
        <v>1900</v>
      </c>
      <c r="B373" s="121"/>
      <c r="C373" s="120"/>
      <c r="D373" s="120"/>
      <c r="E373" s="126" t="str">
        <f>IF(Tabela3[[#This Row],[Descrição]]="","",VLOOKUP(Tabela3[[#This Row],[Descrição]],Tabela4[[Descrição]:[Tipo Receita/ Gasto]],2,FALSE))</f>
        <v/>
      </c>
      <c r="F373" s="122"/>
      <c r="G373" s="113" t="str">
        <f>IF(Tabela3[[#This Row],[Valor]]="","",G372+F373)</f>
        <v/>
      </c>
      <c r="H373" s="121"/>
      <c r="I373" s="120"/>
    </row>
    <row r="374" spans="1:9" x14ac:dyDescent="0.25">
      <c r="A374" s="4">
        <f>YEAR(Tabela3[[#This Row],[Data]])</f>
        <v>1900</v>
      </c>
      <c r="B374" s="121"/>
      <c r="C374" s="120"/>
      <c r="D374" s="120"/>
      <c r="E374" s="126" t="str">
        <f>IF(Tabela3[[#This Row],[Descrição]]="","",VLOOKUP(Tabela3[[#This Row],[Descrição]],Tabela4[[Descrição]:[Tipo Receita/ Gasto]],2,FALSE))</f>
        <v/>
      </c>
      <c r="F374" s="122"/>
      <c r="G374" s="113" t="str">
        <f>IF(Tabela3[[#This Row],[Valor]]="","",G373+F374)</f>
        <v/>
      </c>
      <c r="H374" s="121"/>
      <c r="I374" s="120"/>
    </row>
    <row r="375" spans="1:9" x14ac:dyDescent="0.25">
      <c r="A375" s="4">
        <f>YEAR(Tabela3[[#This Row],[Data]])</f>
        <v>1900</v>
      </c>
      <c r="B375" s="121"/>
      <c r="C375" s="120"/>
      <c r="D375" s="120"/>
      <c r="E375" s="126" t="str">
        <f>IF(Tabela3[[#This Row],[Descrição]]="","",VLOOKUP(Tabela3[[#This Row],[Descrição]],Tabela4[[Descrição]:[Tipo Receita/ Gasto]],2,FALSE))</f>
        <v/>
      </c>
      <c r="F375" s="122"/>
      <c r="G375" s="113" t="str">
        <f>IF(Tabela3[[#This Row],[Valor]]="","",G374+F375)</f>
        <v/>
      </c>
      <c r="H375" s="121"/>
      <c r="I375" s="120"/>
    </row>
    <row r="376" spans="1:9" x14ac:dyDescent="0.25">
      <c r="A376" s="4">
        <f>YEAR(Tabela3[[#This Row],[Data]])</f>
        <v>1900</v>
      </c>
      <c r="B376" s="121"/>
      <c r="C376" s="120"/>
      <c r="D376" s="120"/>
      <c r="E376" s="126" t="str">
        <f>IF(Tabela3[[#This Row],[Descrição]]="","",VLOOKUP(Tabela3[[#This Row],[Descrição]],Tabela4[[Descrição]:[Tipo Receita/ Gasto]],2,FALSE))</f>
        <v/>
      </c>
      <c r="F376" s="122"/>
      <c r="G376" s="113" t="str">
        <f>IF(Tabela3[[#This Row],[Valor]]="","",G375+F376)</f>
        <v/>
      </c>
      <c r="H376" s="121"/>
      <c r="I376" s="120"/>
    </row>
    <row r="377" spans="1:9" x14ac:dyDescent="0.25">
      <c r="A377" s="4">
        <f>YEAR(Tabela3[[#This Row],[Data]])</f>
        <v>1900</v>
      </c>
      <c r="B377" s="121"/>
      <c r="C377" s="120"/>
      <c r="D377" s="120"/>
      <c r="E377" s="126" t="str">
        <f>IF(Tabela3[[#This Row],[Descrição]]="","",VLOOKUP(Tabela3[[#This Row],[Descrição]],Tabela4[[Descrição]:[Tipo Receita/ Gasto]],2,FALSE))</f>
        <v/>
      </c>
      <c r="F377" s="122"/>
      <c r="G377" s="113" t="str">
        <f>IF(Tabela3[[#This Row],[Valor]]="","",G376+F377)</f>
        <v/>
      </c>
      <c r="H377" s="121"/>
      <c r="I377" s="120"/>
    </row>
    <row r="378" spans="1:9" x14ac:dyDescent="0.25">
      <c r="A378" s="4">
        <f>YEAR(Tabela3[[#This Row],[Data]])</f>
        <v>1900</v>
      </c>
      <c r="B378" s="121"/>
      <c r="C378" s="120"/>
      <c r="D378" s="120"/>
      <c r="E378" s="126" t="str">
        <f>IF(Tabela3[[#This Row],[Descrição]]="","",VLOOKUP(Tabela3[[#This Row],[Descrição]],Tabela4[[Descrição]:[Tipo Receita/ Gasto]],2,FALSE))</f>
        <v/>
      </c>
      <c r="F378" s="122"/>
      <c r="G378" s="113" t="str">
        <f>IF(Tabela3[[#This Row],[Valor]]="","",G377+F378)</f>
        <v/>
      </c>
      <c r="H378" s="121"/>
      <c r="I378" s="120"/>
    </row>
    <row r="379" spans="1:9" x14ac:dyDescent="0.25">
      <c r="A379" s="4">
        <f>YEAR(Tabela3[[#This Row],[Data]])</f>
        <v>1900</v>
      </c>
      <c r="B379" s="121"/>
      <c r="C379" s="120"/>
      <c r="D379" s="120"/>
      <c r="E379" s="126" t="str">
        <f>IF(Tabela3[[#This Row],[Descrição]]="","",VLOOKUP(Tabela3[[#This Row],[Descrição]],Tabela4[[Descrição]:[Tipo Receita/ Gasto]],2,FALSE))</f>
        <v/>
      </c>
      <c r="F379" s="122"/>
      <c r="G379" s="113" t="str">
        <f>IF(Tabela3[[#This Row],[Valor]]="","",G378+F379)</f>
        <v/>
      </c>
      <c r="H379" s="121"/>
      <c r="I379" s="120"/>
    </row>
    <row r="380" spans="1:9" x14ac:dyDescent="0.25">
      <c r="A380" s="4">
        <f>YEAR(Tabela3[[#This Row],[Data]])</f>
        <v>1900</v>
      </c>
      <c r="B380" s="121"/>
      <c r="C380" s="120"/>
      <c r="D380" s="120"/>
      <c r="E380" s="126" t="str">
        <f>IF(Tabela3[[#This Row],[Descrição]]="","",VLOOKUP(Tabela3[[#This Row],[Descrição]],Tabela4[[Descrição]:[Tipo Receita/ Gasto]],2,FALSE))</f>
        <v/>
      </c>
      <c r="F380" s="122"/>
      <c r="G380" s="113" t="str">
        <f>IF(Tabela3[[#This Row],[Valor]]="","",G379+F380)</f>
        <v/>
      </c>
      <c r="H380" s="121"/>
      <c r="I380" s="120"/>
    </row>
    <row r="381" spans="1:9" x14ac:dyDescent="0.25">
      <c r="A381" s="4">
        <f>YEAR(Tabela3[[#This Row],[Data]])</f>
        <v>1900</v>
      </c>
      <c r="B381" s="121"/>
      <c r="C381" s="120"/>
      <c r="D381" s="120"/>
      <c r="E381" s="126" t="str">
        <f>IF(Tabela3[[#This Row],[Descrição]]="","",VLOOKUP(Tabela3[[#This Row],[Descrição]],Tabela4[[Descrição]:[Tipo Receita/ Gasto]],2,FALSE))</f>
        <v/>
      </c>
      <c r="F381" s="122"/>
      <c r="G381" s="113" t="str">
        <f>IF(Tabela3[[#This Row],[Valor]]="","",G380+F381)</f>
        <v/>
      </c>
      <c r="H381" s="121"/>
      <c r="I381" s="120"/>
    </row>
    <row r="382" spans="1:9" x14ac:dyDescent="0.25">
      <c r="A382" s="4">
        <f>YEAR(Tabela3[[#This Row],[Data]])</f>
        <v>1900</v>
      </c>
      <c r="B382" s="121"/>
      <c r="C382" s="120"/>
      <c r="D382" s="120"/>
      <c r="E382" s="126" t="str">
        <f>IF(Tabela3[[#This Row],[Descrição]]="","",VLOOKUP(Tabela3[[#This Row],[Descrição]],Tabela4[[Descrição]:[Tipo Receita/ Gasto]],2,FALSE))</f>
        <v/>
      </c>
      <c r="F382" s="122"/>
      <c r="G382" s="113" t="str">
        <f>IF(Tabela3[[#This Row],[Valor]]="","",G381+F382)</f>
        <v/>
      </c>
      <c r="H382" s="121"/>
      <c r="I382" s="120"/>
    </row>
    <row r="383" spans="1:9" x14ac:dyDescent="0.25">
      <c r="A383" s="4">
        <f>YEAR(Tabela3[[#This Row],[Data]])</f>
        <v>1900</v>
      </c>
      <c r="B383" s="121"/>
      <c r="C383" s="120"/>
      <c r="D383" s="120"/>
      <c r="E383" s="126" t="str">
        <f>IF(Tabela3[[#This Row],[Descrição]]="","",VLOOKUP(Tabela3[[#This Row],[Descrição]],Tabela4[[Descrição]:[Tipo Receita/ Gasto]],2,FALSE))</f>
        <v/>
      </c>
      <c r="F383" s="122"/>
      <c r="G383" s="113" t="str">
        <f>IF(Tabela3[[#This Row],[Valor]]="","",G382+F383)</f>
        <v/>
      </c>
      <c r="H383" s="121"/>
      <c r="I383" s="120"/>
    </row>
    <row r="384" spans="1:9" x14ac:dyDescent="0.25">
      <c r="A384" s="4">
        <f>YEAR(Tabela3[[#This Row],[Data]])</f>
        <v>1900</v>
      </c>
      <c r="B384" s="121"/>
      <c r="C384" s="120"/>
      <c r="D384" s="120"/>
      <c r="E384" s="126" t="str">
        <f>IF(Tabela3[[#This Row],[Descrição]]="","",VLOOKUP(Tabela3[[#This Row],[Descrição]],Tabela4[[Descrição]:[Tipo Receita/ Gasto]],2,FALSE))</f>
        <v/>
      </c>
      <c r="F384" s="122"/>
      <c r="G384" s="113" t="str">
        <f>IF(Tabela3[[#This Row],[Valor]]="","",G383+F384)</f>
        <v/>
      </c>
      <c r="H384" s="121"/>
      <c r="I384" s="120"/>
    </row>
    <row r="385" spans="1:9" x14ac:dyDescent="0.25">
      <c r="A385" s="4">
        <f>YEAR(Tabela3[[#This Row],[Data]])</f>
        <v>1900</v>
      </c>
      <c r="B385" s="121"/>
      <c r="C385" s="120"/>
      <c r="D385" s="120"/>
      <c r="E385" s="126" t="str">
        <f>IF(Tabela3[[#This Row],[Descrição]]="","",VLOOKUP(Tabela3[[#This Row],[Descrição]],Tabela4[[Descrição]:[Tipo Receita/ Gasto]],2,FALSE))</f>
        <v/>
      </c>
      <c r="F385" s="122"/>
      <c r="G385" s="113" t="str">
        <f>IF(Tabela3[[#This Row],[Valor]]="","",G384+F385)</f>
        <v/>
      </c>
      <c r="H385" s="121"/>
      <c r="I385" s="120"/>
    </row>
    <row r="386" spans="1:9" x14ac:dyDescent="0.25">
      <c r="A386" s="4">
        <f>YEAR(Tabela3[[#This Row],[Data]])</f>
        <v>1900</v>
      </c>
      <c r="B386" s="121"/>
      <c r="C386" s="120"/>
      <c r="D386" s="120"/>
      <c r="E386" s="126" t="str">
        <f>IF(Tabela3[[#This Row],[Descrição]]="","",VLOOKUP(Tabela3[[#This Row],[Descrição]],Tabela4[[Descrição]:[Tipo Receita/ Gasto]],2,FALSE))</f>
        <v/>
      </c>
      <c r="F386" s="122"/>
      <c r="G386" s="113" t="str">
        <f>IF(Tabela3[[#This Row],[Valor]]="","",G385+F386)</f>
        <v/>
      </c>
      <c r="H386" s="121"/>
      <c r="I386" s="120"/>
    </row>
    <row r="387" spans="1:9" x14ac:dyDescent="0.25">
      <c r="A387" s="4">
        <f>YEAR(Tabela3[[#This Row],[Data]])</f>
        <v>1900</v>
      </c>
      <c r="B387" s="121"/>
      <c r="C387" s="120"/>
      <c r="D387" s="120"/>
      <c r="E387" s="126" t="str">
        <f>IF(Tabela3[[#This Row],[Descrição]]="","",VLOOKUP(Tabela3[[#This Row],[Descrição]],Tabela4[[Descrição]:[Tipo Receita/ Gasto]],2,FALSE))</f>
        <v/>
      </c>
      <c r="F387" s="122"/>
      <c r="G387" s="113" t="str">
        <f>IF(Tabela3[[#This Row],[Valor]]="","",G386+F387)</f>
        <v/>
      </c>
      <c r="H387" s="121"/>
      <c r="I387" s="120"/>
    </row>
    <row r="388" spans="1:9" x14ac:dyDescent="0.25">
      <c r="A388" s="4">
        <f>YEAR(Tabela3[[#This Row],[Data]])</f>
        <v>1900</v>
      </c>
      <c r="B388" s="121"/>
      <c r="C388" s="120"/>
      <c r="D388" s="120"/>
      <c r="E388" s="126" t="str">
        <f>IF(Tabela3[[#This Row],[Descrição]]="","",VLOOKUP(Tabela3[[#This Row],[Descrição]],Tabela4[[Descrição]:[Tipo Receita/ Gasto]],2,FALSE))</f>
        <v/>
      </c>
      <c r="F388" s="122"/>
      <c r="G388" s="113" t="str">
        <f>IF(Tabela3[[#This Row],[Valor]]="","",G387+F388)</f>
        <v/>
      </c>
      <c r="H388" s="121"/>
      <c r="I388" s="120"/>
    </row>
    <row r="389" spans="1:9" x14ac:dyDescent="0.25">
      <c r="A389" s="4">
        <f>YEAR(Tabela3[[#This Row],[Data]])</f>
        <v>1900</v>
      </c>
      <c r="B389" s="121"/>
      <c r="C389" s="120"/>
      <c r="D389" s="120"/>
      <c r="E389" s="126" t="str">
        <f>IF(Tabela3[[#This Row],[Descrição]]="","",VLOOKUP(Tabela3[[#This Row],[Descrição]],Tabela4[[Descrição]:[Tipo Receita/ Gasto]],2,FALSE))</f>
        <v/>
      </c>
      <c r="F389" s="122"/>
      <c r="G389" s="113" t="str">
        <f>IF(Tabela3[[#This Row],[Valor]]="","",G388+F389)</f>
        <v/>
      </c>
      <c r="H389" s="121"/>
      <c r="I389" s="120"/>
    </row>
    <row r="390" spans="1:9" x14ac:dyDescent="0.25">
      <c r="A390" s="4">
        <f>YEAR(Tabela3[[#This Row],[Data]])</f>
        <v>1900</v>
      </c>
      <c r="B390" s="121"/>
      <c r="C390" s="120"/>
      <c r="D390" s="120"/>
      <c r="E390" s="126" t="str">
        <f>IF(Tabela3[[#This Row],[Descrição]]="","",VLOOKUP(Tabela3[[#This Row],[Descrição]],Tabela4[[Descrição]:[Tipo Receita/ Gasto]],2,FALSE))</f>
        <v/>
      </c>
      <c r="F390" s="122"/>
      <c r="G390" s="113" t="str">
        <f>IF(Tabela3[[#This Row],[Valor]]="","",G389+F390)</f>
        <v/>
      </c>
      <c r="H390" s="121"/>
      <c r="I390" s="120"/>
    </row>
    <row r="391" spans="1:9" x14ac:dyDescent="0.25">
      <c r="A391" s="4">
        <f>YEAR(Tabela3[[#This Row],[Data]])</f>
        <v>1900</v>
      </c>
      <c r="B391" s="121"/>
      <c r="C391" s="120"/>
      <c r="D391" s="120"/>
      <c r="E391" s="126" t="str">
        <f>IF(Tabela3[[#This Row],[Descrição]]="","",VLOOKUP(Tabela3[[#This Row],[Descrição]],Tabela4[[Descrição]:[Tipo Receita/ Gasto]],2,FALSE))</f>
        <v/>
      </c>
      <c r="F391" s="122"/>
      <c r="G391" s="113" t="str">
        <f>IF(Tabela3[[#This Row],[Valor]]="","",G390+F391)</f>
        <v/>
      </c>
      <c r="H391" s="121"/>
      <c r="I391" s="120"/>
    </row>
    <row r="392" spans="1:9" x14ac:dyDescent="0.25">
      <c r="A392" s="4">
        <f>YEAR(Tabela3[[#This Row],[Data]])</f>
        <v>1900</v>
      </c>
      <c r="B392" s="121"/>
      <c r="C392" s="120"/>
      <c r="D392" s="120"/>
      <c r="E392" s="126" t="str">
        <f>IF(Tabela3[[#This Row],[Descrição]]="","",VLOOKUP(Tabela3[[#This Row],[Descrição]],Tabela4[[Descrição]:[Tipo Receita/ Gasto]],2,FALSE))</f>
        <v/>
      </c>
      <c r="F392" s="122"/>
      <c r="G392" s="113" t="str">
        <f>IF(Tabela3[[#This Row],[Valor]]="","",G391+F392)</f>
        <v/>
      </c>
      <c r="H392" s="121"/>
      <c r="I392" s="120"/>
    </row>
    <row r="393" spans="1:9" x14ac:dyDescent="0.25">
      <c r="A393" s="4">
        <f>YEAR(Tabela3[[#This Row],[Data]])</f>
        <v>1900</v>
      </c>
      <c r="B393" s="121"/>
      <c r="C393" s="120"/>
      <c r="D393" s="120"/>
      <c r="E393" s="126" t="str">
        <f>IF(Tabela3[[#This Row],[Descrição]]="","",VLOOKUP(Tabela3[[#This Row],[Descrição]],Tabela4[[Descrição]:[Tipo Receita/ Gasto]],2,FALSE))</f>
        <v/>
      </c>
      <c r="F393" s="122"/>
      <c r="G393" s="113" t="str">
        <f>IF(Tabela3[[#This Row],[Valor]]="","",G392+F393)</f>
        <v/>
      </c>
      <c r="H393" s="121"/>
      <c r="I393" s="120"/>
    </row>
    <row r="394" spans="1:9" x14ac:dyDescent="0.25">
      <c r="A394" s="4">
        <f>YEAR(Tabela3[[#This Row],[Data]])</f>
        <v>1900</v>
      </c>
      <c r="B394" s="121"/>
      <c r="C394" s="120"/>
      <c r="D394" s="120"/>
      <c r="E394" s="126" t="str">
        <f>IF(Tabela3[[#This Row],[Descrição]]="","",VLOOKUP(Tabela3[[#This Row],[Descrição]],Tabela4[[Descrição]:[Tipo Receita/ Gasto]],2,FALSE))</f>
        <v/>
      </c>
      <c r="F394" s="122"/>
      <c r="G394" s="113" t="str">
        <f>IF(Tabela3[[#This Row],[Valor]]="","",G393+F394)</f>
        <v/>
      </c>
      <c r="H394" s="121"/>
      <c r="I394" s="120"/>
    </row>
    <row r="395" spans="1:9" x14ac:dyDescent="0.25">
      <c r="A395" s="4">
        <f>YEAR(Tabela3[[#This Row],[Data]])</f>
        <v>1900</v>
      </c>
      <c r="B395" s="121"/>
      <c r="C395" s="120"/>
      <c r="D395" s="120"/>
      <c r="E395" s="126" t="str">
        <f>IF(Tabela3[[#This Row],[Descrição]]="","",VLOOKUP(Tabela3[[#This Row],[Descrição]],Tabela4[[Descrição]:[Tipo Receita/ Gasto]],2,FALSE))</f>
        <v/>
      </c>
      <c r="F395" s="122"/>
      <c r="G395" s="113" t="str">
        <f>IF(Tabela3[[#This Row],[Valor]]="","",G394+F395)</f>
        <v/>
      </c>
      <c r="H395" s="121"/>
      <c r="I395" s="120"/>
    </row>
    <row r="396" spans="1:9" x14ac:dyDescent="0.25">
      <c r="A396" s="4">
        <f>YEAR(Tabela3[[#This Row],[Data]])</f>
        <v>1900</v>
      </c>
      <c r="B396" s="121"/>
      <c r="C396" s="120"/>
      <c r="D396" s="120"/>
      <c r="E396" s="126" t="str">
        <f>IF(Tabela3[[#This Row],[Descrição]]="","",VLOOKUP(Tabela3[[#This Row],[Descrição]],Tabela4[[Descrição]:[Tipo Receita/ Gasto]],2,FALSE))</f>
        <v/>
      </c>
      <c r="F396" s="122"/>
      <c r="G396" s="113" t="str">
        <f>IF(Tabela3[[#This Row],[Valor]]="","",G395+F396)</f>
        <v/>
      </c>
      <c r="H396" s="121"/>
      <c r="I396" s="120"/>
    </row>
    <row r="397" spans="1:9" x14ac:dyDescent="0.25">
      <c r="A397" s="4">
        <f>YEAR(Tabela3[[#This Row],[Data]])</f>
        <v>1900</v>
      </c>
      <c r="B397" s="121"/>
      <c r="C397" s="120"/>
      <c r="D397" s="120"/>
      <c r="E397" s="126" t="str">
        <f>IF(Tabela3[[#This Row],[Descrição]]="","",VLOOKUP(Tabela3[[#This Row],[Descrição]],Tabela4[[Descrição]:[Tipo Receita/ Gasto]],2,FALSE))</f>
        <v/>
      </c>
      <c r="F397" s="122"/>
      <c r="G397" s="113" t="str">
        <f>IF(Tabela3[[#This Row],[Valor]]="","",G396+F397)</f>
        <v/>
      </c>
      <c r="H397" s="121"/>
      <c r="I397" s="120"/>
    </row>
    <row r="398" spans="1:9" x14ac:dyDescent="0.25">
      <c r="A398" s="4">
        <f>YEAR(Tabela3[[#This Row],[Data]])</f>
        <v>1900</v>
      </c>
      <c r="B398" s="121"/>
      <c r="C398" s="120"/>
      <c r="D398" s="120"/>
      <c r="E398" s="126" t="str">
        <f>IF(Tabela3[[#This Row],[Descrição]]="","",VLOOKUP(Tabela3[[#This Row],[Descrição]],Tabela4[[Descrição]:[Tipo Receita/ Gasto]],2,FALSE))</f>
        <v/>
      </c>
      <c r="F398" s="122"/>
      <c r="G398" s="113" t="str">
        <f>IF(Tabela3[[#This Row],[Valor]]="","",G397+F398)</f>
        <v/>
      </c>
      <c r="H398" s="121"/>
      <c r="I398" s="120"/>
    </row>
    <row r="399" spans="1:9" x14ac:dyDescent="0.25">
      <c r="A399" s="4">
        <f>YEAR(Tabela3[[#This Row],[Data]])</f>
        <v>1900</v>
      </c>
      <c r="B399" s="121"/>
      <c r="C399" s="120"/>
      <c r="D399" s="120"/>
      <c r="E399" s="126" t="str">
        <f>IF(Tabela3[[#This Row],[Descrição]]="","",VLOOKUP(Tabela3[[#This Row],[Descrição]],Tabela4[[Descrição]:[Tipo Receita/ Gasto]],2,FALSE))</f>
        <v/>
      </c>
      <c r="F399" s="122"/>
      <c r="G399" s="113" t="str">
        <f>IF(Tabela3[[#This Row],[Valor]]="","",G398+F399)</f>
        <v/>
      </c>
      <c r="H399" s="121"/>
      <c r="I399" s="120"/>
    </row>
    <row r="400" spans="1:9" x14ac:dyDescent="0.25">
      <c r="A400" s="4">
        <f>YEAR(Tabela3[[#This Row],[Data]])</f>
        <v>1900</v>
      </c>
      <c r="B400" s="121"/>
      <c r="C400" s="120"/>
      <c r="D400" s="120"/>
      <c r="E400" s="126" t="str">
        <f>IF(Tabela3[[#This Row],[Descrição]]="","",VLOOKUP(Tabela3[[#This Row],[Descrição]],Tabela4[[Descrição]:[Tipo Receita/ Gasto]],2,FALSE))</f>
        <v/>
      </c>
      <c r="F400" s="122"/>
      <c r="G400" s="113" t="str">
        <f>IF(Tabela3[[#This Row],[Valor]]="","",G399+F400)</f>
        <v/>
      </c>
      <c r="H400" s="121"/>
      <c r="I400" s="120"/>
    </row>
    <row r="401" spans="1:9" x14ac:dyDescent="0.25">
      <c r="A401" s="4">
        <f>YEAR(Tabela3[[#This Row],[Data]])</f>
        <v>1900</v>
      </c>
      <c r="B401" s="121"/>
      <c r="C401" s="120"/>
      <c r="D401" s="120"/>
      <c r="E401" s="126" t="str">
        <f>IF(Tabela3[[#This Row],[Descrição]]="","",VLOOKUP(Tabela3[[#This Row],[Descrição]],Tabela4[[Descrição]:[Tipo Receita/ Gasto]],2,FALSE))</f>
        <v/>
      </c>
      <c r="F401" s="122"/>
      <c r="G401" s="113" t="str">
        <f>IF(Tabela3[[#This Row],[Valor]]="","",G400+F401)</f>
        <v/>
      </c>
      <c r="H401" s="121"/>
      <c r="I401" s="120"/>
    </row>
    <row r="402" spans="1:9" x14ac:dyDescent="0.25">
      <c r="A402" s="4">
        <f>YEAR(Tabela3[[#This Row],[Data]])</f>
        <v>1900</v>
      </c>
      <c r="B402" s="121"/>
      <c r="C402" s="120"/>
      <c r="D402" s="120"/>
      <c r="E402" s="126" t="str">
        <f>IF(Tabela3[[#This Row],[Descrição]]="","",VLOOKUP(Tabela3[[#This Row],[Descrição]],Tabela4[[Descrição]:[Tipo Receita/ Gasto]],2,FALSE))</f>
        <v/>
      </c>
      <c r="F402" s="122"/>
      <c r="G402" s="113" t="str">
        <f>IF(Tabela3[[#This Row],[Valor]]="","",G401+F402)</f>
        <v/>
      </c>
      <c r="H402" s="121"/>
      <c r="I402" s="120"/>
    </row>
    <row r="403" spans="1:9" x14ac:dyDescent="0.25">
      <c r="A403" s="4">
        <f>YEAR(Tabela3[[#This Row],[Data]])</f>
        <v>1900</v>
      </c>
      <c r="B403" s="121"/>
      <c r="C403" s="120"/>
      <c r="D403" s="120"/>
      <c r="E403" s="126" t="str">
        <f>IF(Tabela3[[#This Row],[Descrição]]="","",VLOOKUP(Tabela3[[#This Row],[Descrição]],Tabela4[[Descrição]:[Tipo Receita/ Gasto]],2,FALSE))</f>
        <v/>
      </c>
      <c r="F403" s="122"/>
      <c r="G403" s="113" t="str">
        <f>IF(Tabela3[[#This Row],[Valor]]="","",G402+F403)</f>
        <v/>
      </c>
      <c r="H403" s="121"/>
      <c r="I403" s="120"/>
    </row>
    <row r="404" spans="1:9" x14ac:dyDescent="0.25">
      <c r="A404" s="4">
        <f>YEAR(Tabela3[[#This Row],[Data]])</f>
        <v>1900</v>
      </c>
      <c r="B404" s="121"/>
      <c r="C404" s="120"/>
      <c r="D404" s="120"/>
      <c r="E404" s="126" t="str">
        <f>IF(Tabela3[[#This Row],[Descrição]]="","",VLOOKUP(Tabela3[[#This Row],[Descrição]],Tabela4[[Descrição]:[Tipo Receita/ Gasto]],2,FALSE))</f>
        <v/>
      </c>
      <c r="F404" s="122"/>
      <c r="G404" s="113" t="str">
        <f>IF(Tabela3[[#This Row],[Valor]]="","",G403+F404)</f>
        <v/>
      </c>
      <c r="H404" s="121"/>
      <c r="I404" s="120"/>
    </row>
    <row r="405" spans="1:9" x14ac:dyDescent="0.25">
      <c r="A405" s="4">
        <f>YEAR(Tabela3[[#This Row],[Data]])</f>
        <v>1900</v>
      </c>
      <c r="B405" s="121"/>
      <c r="C405" s="120"/>
      <c r="D405" s="120"/>
      <c r="E405" s="126" t="str">
        <f>IF(Tabela3[[#This Row],[Descrição]]="","",VLOOKUP(Tabela3[[#This Row],[Descrição]],Tabela4[[Descrição]:[Tipo Receita/ Gasto]],2,FALSE))</f>
        <v/>
      </c>
      <c r="F405" s="122"/>
      <c r="G405" s="113" t="str">
        <f>IF(Tabela3[[#This Row],[Valor]]="","",G404+F405)</f>
        <v/>
      </c>
      <c r="H405" s="121"/>
      <c r="I405" s="120"/>
    </row>
    <row r="406" spans="1:9" x14ac:dyDescent="0.25">
      <c r="A406" s="4">
        <f>YEAR(Tabela3[[#This Row],[Data]])</f>
        <v>1900</v>
      </c>
      <c r="B406" s="121"/>
      <c r="C406" s="120"/>
      <c r="D406" s="120"/>
      <c r="E406" s="126" t="str">
        <f>IF(Tabela3[[#This Row],[Descrição]]="","",VLOOKUP(Tabela3[[#This Row],[Descrição]],Tabela4[[Descrição]:[Tipo Receita/ Gasto]],2,FALSE))</f>
        <v/>
      </c>
      <c r="F406" s="122"/>
      <c r="G406" s="113" t="str">
        <f>IF(Tabela3[[#This Row],[Valor]]="","",G405+F406)</f>
        <v/>
      </c>
      <c r="H406" s="121"/>
      <c r="I406" s="120"/>
    </row>
    <row r="407" spans="1:9" x14ac:dyDescent="0.25">
      <c r="A407" s="4">
        <f>YEAR(Tabela3[[#This Row],[Data]])</f>
        <v>1900</v>
      </c>
      <c r="B407" s="121"/>
      <c r="C407" s="120"/>
      <c r="D407" s="120"/>
      <c r="E407" s="126" t="str">
        <f>IF(Tabela3[[#This Row],[Descrição]]="","",VLOOKUP(Tabela3[[#This Row],[Descrição]],Tabela4[[Descrição]:[Tipo Receita/ Gasto]],2,FALSE))</f>
        <v/>
      </c>
      <c r="F407" s="122"/>
      <c r="G407" s="113" t="str">
        <f>IF(Tabela3[[#This Row],[Valor]]="","",G406+F407)</f>
        <v/>
      </c>
      <c r="H407" s="121"/>
      <c r="I407" s="120"/>
    </row>
    <row r="408" spans="1:9" x14ac:dyDescent="0.25">
      <c r="A408" s="4">
        <f>YEAR(Tabela3[[#This Row],[Data]])</f>
        <v>1900</v>
      </c>
      <c r="B408" s="121"/>
      <c r="C408" s="120"/>
      <c r="D408" s="120"/>
      <c r="E408" s="126" t="str">
        <f>IF(Tabela3[[#This Row],[Descrição]]="","",VLOOKUP(Tabela3[[#This Row],[Descrição]],Tabela4[[Descrição]:[Tipo Receita/ Gasto]],2,FALSE))</f>
        <v/>
      </c>
      <c r="F408" s="122"/>
      <c r="G408" s="113" t="str">
        <f>IF(Tabela3[[#This Row],[Valor]]="","",G407+F408)</f>
        <v/>
      </c>
      <c r="H408" s="121"/>
      <c r="I408" s="120"/>
    </row>
    <row r="409" spans="1:9" x14ac:dyDescent="0.25">
      <c r="A409" s="4">
        <f>YEAR(Tabela3[[#This Row],[Data]])</f>
        <v>1900</v>
      </c>
      <c r="B409" s="121"/>
      <c r="C409" s="120"/>
      <c r="D409" s="120"/>
      <c r="E409" s="126" t="str">
        <f>IF(Tabela3[[#This Row],[Descrição]]="","",VLOOKUP(Tabela3[[#This Row],[Descrição]],Tabela4[[Descrição]:[Tipo Receita/ Gasto]],2,FALSE))</f>
        <v/>
      </c>
      <c r="F409" s="122"/>
      <c r="G409" s="113" t="str">
        <f>IF(Tabela3[[#This Row],[Valor]]="","",G408+F409)</f>
        <v/>
      </c>
      <c r="H409" s="121"/>
      <c r="I409" s="120"/>
    </row>
    <row r="410" spans="1:9" x14ac:dyDescent="0.25">
      <c r="A410" s="4">
        <f>YEAR(Tabela3[[#This Row],[Data]])</f>
        <v>1900</v>
      </c>
      <c r="B410" s="121"/>
      <c r="C410" s="120"/>
      <c r="D410" s="120"/>
      <c r="E410" s="126" t="str">
        <f>IF(Tabela3[[#This Row],[Descrição]]="","",VLOOKUP(Tabela3[[#This Row],[Descrição]],Tabela4[[Descrição]:[Tipo Receita/ Gasto]],2,FALSE))</f>
        <v/>
      </c>
      <c r="F410" s="122"/>
      <c r="G410" s="113" t="str">
        <f>IF(Tabela3[[#This Row],[Valor]]="","",G409+F410)</f>
        <v/>
      </c>
      <c r="H410" s="121"/>
      <c r="I410" s="120"/>
    </row>
    <row r="411" spans="1:9" x14ac:dyDescent="0.25">
      <c r="A411" s="4">
        <f>YEAR(Tabela3[[#This Row],[Data]])</f>
        <v>1900</v>
      </c>
      <c r="B411" s="121"/>
      <c r="C411" s="120"/>
      <c r="D411" s="120"/>
      <c r="E411" s="126" t="str">
        <f>IF(Tabela3[[#This Row],[Descrição]]="","",VLOOKUP(Tabela3[[#This Row],[Descrição]],Tabela4[[Descrição]:[Tipo Receita/ Gasto]],2,FALSE))</f>
        <v/>
      </c>
      <c r="F411" s="122"/>
      <c r="G411" s="113" t="str">
        <f>IF(Tabela3[[#This Row],[Valor]]="","",G410+F411)</f>
        <v/>
      </c>
      <c r="H411" s="121"/>
      <c r="I411" s="120"/>
    </row>
    <row r="412" spans="1:9" x14ac:dyDescent="0.25">
      <c r="A412" s="4">
        <f>YEAR(Tabela3[[#This Row],[Data]])</f>
        <v>1900</v>
      </c>
      <c r="B412" s="121"/>
      <c r="C412" s="120"/>
      <c r="D412" s="120"/>
      <c r="E412" s="126" t="str">
        <f>IF(Tabela3[[#This Row],[Descrição]]="","",VLOOKUP(Tabela3[[#This Row],[Descrição]],Tabela4[[Descrição]:[Tipo Receita/ Gasto]],2,FALSE))</f>
        <v/>
      </c>
      <c r="F412" s="122"/>
      <c r="G412" s="113" t="str">
        <f>IF(Tabela3[[#This Row],[Valor]]="","",G411+F412)</f>
        <v/>
      </c>
      <c r="H412" s="121"/>
      <c r="I412" s="120"/>
    </row>
    <row r="413" spans="1:9" x14ac:dyDescent="0.25">
      <c r="A413" s="4">
        <f>YEAR(Tabela3[[#This Row],[Data]])</f>
        <v>1900</v>
      </c>
      <c r="B413" s="121"/>
      <c r="C413" s="120"/>
      <c r="D413" s="120"/>
      <c r="E413" s="126" t="str">
        <f>IF(Tabela3[[#This Row],[Descrição]]="","",VLOOKUP(Tabela3[[#This Row],[Descrição]],Tabela4[[Descrição]:[Tipo Receita/ Gasto]],2,FALSE))</f>
        <v/>
      </c>
      <c r="F413" s="122"/>
      <c r="G413" s="113" t="str">
        <f>IF(Tabela3[[#This Row],[Valor]]="","",G412+F413)</f>
        <v/>
      </c>
      <c r="H413" s="121"/>
      <c r="I413" s="120"/>
    </row>
    <row r="414" spans="1:9" x14ac:dyDescent="0.25">
      <c r="A414" s="4">
        <f>YEAR(Tabela3[[#This Row],[Data]])</f>
        <v>1900</v>
      </c>
      <c r="B414" s="121"/>
      <c r="C414" s="120"/>
      <c r="D414" s="120"/>
      <c r="E414" s="126" t="str">
        <f>IF(Tabela3[[#This Row],[Descrição]]="","",VLOOKUP(Tabela3[[#This Row],[Descrição]],Tabela4[[Descrição]:[Tipo Receita/ Gasto]],2,FALSE))</f>
        <v/>
      </c>
      <c r="F414" s="122"/>
      <c r="G414" s="113" t="str">
        <f>IF(Tabela3[[#This Row],[Valor]]="","",G413+F414)</f>
        <v/>
      </c>
      <c r="H414" s="121"/>
      <c r="I414" s="120"/>
    </row>
    <row r="415" spans="1:9" x14ac:dyDescent="0.25">
      <c r="A415" s="4">
        <f>YEAR(Tabela3[[#This Row],[Data]])</f>
        <v>1900</v>
      </c>
      <c r="B415" s="121"/>
      <c r="C415" s="120"/>
      <c r="D415" s="120"/>
      <c r="E415" s="126" t="str">
        <f>IF(Tabela3[[#This Row],[Descrição]]="","",VLOOKUP(Tabela3[[#This Row],[Descrição]],Tabela4[[Descrição]:[Tipo Receita/ Gasto]],2,FALSE))</f>
        <v/>
      </c>
      <c r="F415" s="122"/>
      <c r="G415" s="113" t="str">
        <f>IF(Tabela3[[#This Row],[Valor]]="","",G414+F415)</f>
        <v/>
      </c>
      <c r="H415" s="121"/>
      <c r="I415" s="120"/>
    </row>
    <row r="416" spans="1:9" x14ac:dyDescent="0.25">
      <c r="A416" s="4">
        <f>YEAR(Tabela3[[#This Row],[Data]])</f>
        <v>1900</v>
      </c>
      <c r="B416" s="121"/>
      <c r="C416" s="120"/>
      <c r="D416" s="120"/>
      <c r="E416" s="126" t="str">
        <f>IF(Tabela3[[#This Row],[Descrição]]="","",VLOOKUP(Tabela3[[#This Row],[Descrição]],Tabela4[[Descrição]:[Tipo Receita/ Gasto]],2,FALSE))</f>
        <v/>
      </c>
      <c r="F416" s="122"/>
      <c r="G416" s="113" t="str">
        <f>IF(Tabela3[[#This Row],[Valor]]="","",G415+F416)</f>
        <v/>
      </c>
      <c r="H416" s="121"/>
      <c r="I416" s="120"/>
    </row>
    <row r="417" spans="1:9" x14ac:dyDescent="0.25">
      <c r="A417" s="4">
        <f>YEAR(Tabela3[[#This Row],[Data]])</f>
        <v>1900</v>
      </c>
      <c r="B417" s="121"/>
      <c r="C417" s="120"/>
      <c r="D417" s="120"/>
      <c r="E417" s="126" t="str">
        <f>IF(Tabela3[[#This Row],[Descrição]]="","",VLOOKUP(Tabela3[[#This Row],[Descrição]],Tabela4[[Descrição]:[Tipo Receita/ Gasto]],2,FALSE))</f>
        <v/>
      </c>
      <c r="F417" s="122"/>
      <c r="G417" s="113" t="str">
        <f>IF(Tabela3[[#This Row],[Valor]]="","",G416+F417)</f>
        <v/>
      </c>
      <c r="H417" s="121"/>
      <c r="I417" s="120"/>
    </row>
    <row r="418" spans="1:9" x14ac:dyDescent="0.25">
      <c r="A418" s="4">
        <f>YEAR(Tabela3[[#This Row],[Data]])</f>
        <v>1900</v>
      </c>
      <c r="B418" s="121"/>
      <c r="C418" s="120"/>
      <c r="D418" s="120"/>
      <c r="E418" s="126" t="str">
        <f>IF(Tabela3[[#This Row],[Descrição]]="","",VLOOKUP(Tabela3[[#This Row],[Descrição]],Tabela4[[Descrição]:[Tipo Receita/ Gasto]],2,FALSE))</f>
        <v/>
      </c>
      <c r="F418" s="122"/>
      <c r="G418" s="113" t="str">
        <f>IF(Tabela3[[#This Row],[Valor]]="","",G417+F418)</f>
        <v/>
      </c>
      <c r="H418" s="121"/>
      <c r="I418" s="120"/>
    </row>
    <row r="419" spans="1:9" x14ac:dyDescent="0.25">
      <c r="A419" s="4">
        <f>YEAR(Tabela3[[#This Row],[Data]])</f>
        <v>1900</v>
      </c>
      <c r="B419" s="121"/>
      <c r="C419" s="120"/>
      <c r="D419" s="120"/>
      <c r="E419" s="126" t="str">
        <f>IF(Tabela3[[#This Row],[Descrição]]="","",VLOOKUP(Tabela3[[#This Row],[Descrição]],Tabela4[[Descrição]:[Tipo Receita/ Gasto]],2,FALSE))</f>
        <v/>
      </c>
      <c r="F419" s="122"/>
      <c r="G419" s="113" t="str">
        <f>IF(Tabela3[[#This Row],[Valor]]="","",G418+F419)</f>
        <v/>
      </c>
      <c r="H419" s="121"/>
      <c r="I419" s="120"/>
    </row>
    <row r="420" spans="1:9" x14ac:dyDescent="0.25">
      <c r="A420" s="4">
        <f>YEAR(Tabela3[[#This Row],[Data]])</f>
        <v>1900</v>
      </c>
      <c r="B420" s="121"/>
      <c r="C420" s="120"/>
      <c r="D420" s="120"/>
      <c r="E420" s="126" t="str">
        <f>IF(Tabela3[[#This Row],[Descrição]]="","",VLOOKUP(Tabela3[[#This Row],[Descrição]],Tabela4[[Descrição]:[Tipo Receita/ Gasto]],2,FALSE))</f>
        <v/>
      </c>
      <c r="F420" s="122"/>
      <c r="G420" s="113" t="str">
        <f>IF(Tabela3[[#This Row],[Valor]]="","",G419+F420)</f>
        <v/>
      </c>
      <c r="H420" s="121"/>
      <c r="I420" s="120"/>
    </row>
    <row r="421" spans="1:9" x14ac:dyDescent="0.25">
      <c r="A421" s="4">
        <f>YEAR(Tabela3[[#This Row],[Data]])</f>
        <v>1900</v>
      </c>
      <c r="B421" s="121"/>
      <c r="C421" s="120"/>
      <c r="D421" s="120"/>
      <c r="E421" s="126" t="str">
        <f>IF(Tabela3[[#This Row],[Descrição]]="","",VLOOKUP(Tabela3[[#This Row],[Descrição]],Tabela4[[Descrição]:[Tipo Receita/ Gasto]],2,FALSE))</f>
        <v/>
      </c>
      <c r="F421" s="122"/>
      <c r="G421" s="113" t="str">
        <f>IF(Tabela3[[#This Row],[Valor]]="","",G420+F421)</f>
        <v/>
      </c>
      <c r="H421" s="121"/>
      <c r="I421" s="120"/>
    </row>
    <row r="422" spans="1:9" x14ac:dyDescent="0.25">
      <c r="A422" s="4">
        <f>YEAR(Tabela3[[#This Row],[Data]])</f>
        <v>1900</v>
      </c>
      <c r="B422" s="121"/>
      <c r="C422" s="120"/>
      <c r="D422" s="120"/>
      <c r="E422" s="126" t="str">
        <f>IF(Tabela3[[#This Row],[Descrição]]="","",VLOOKUP(Tabela3[[#This Row],[Descrição]],Tabela4[[Descrição]:[Tipo Receita/ Gasto]],2,FALSE))</f>
        <v/>
      </c>
      <c r="F422" s="122"/>
      <c r="G422" s="113" t="str">
        <f>IF(Tabela3[[#This Row],[Valor]]="","",G421+F422)</f>
        <v/>
      </c>
      <c r="H422" s="121"/>
      <c r="I422" s="120"/>
    </row>
    <row r="423" spans="1:9" x14ac:dyDescent="0.25">
      <c r="A423" s="4">
        <f>YEAR(Tabela3[[#This Row],[Data]])</f>
        <v>1900</v>
      </c>
      <c r="B423" s="121"/>
      <c r="C423" s="120"/>
      <c r="D423" s="120"/>
      <c r="E423" s="126" t="str">
        <f>IF(Tabela3[[#This Row],[Descrição]]="","",VLOOKUP(Tabela3[[#This Row],[Descrição]],Tabela4[[Descrição]:[Tipo Receita/ Gasto]],2,FALSE))</f>
        <v/>
      </c>
      <c r="F423" s="122"/>
      <c r="G423" s="113" t="str">
        <f>IF(Tabela3[[#This Row],[Valor]]="","",G422+F423)</f>
        <v/>
      </c>
      <c r="H423" s="121"/>
      <c r="I423" s="120"/>
    </row>
    <row r="424" spans="1:9" x14ac:dyDescent="0.25">
      <c r="A424" s="4">
        <f>YEAR(Tabela3[[#This Row],[Data]])</f>
        <v>1900</v>
      </c>
      <c r="B424" s="121"/>
      <c r="C424" s="120"/>
      <c r="D424" s="120"/>
      <c r="E424" s="126" t="str">
        <f>IF(Tabela3[[#This Row],[Descrição]]="","",VLOOKUP(Tabela3[[#This Row],[Descrição]],Tabela4[[Descrição]:[Tipo Receita/ Gasto]],2,FALSE))</f>
        <v/>
      </c>
      <c r="F424" s="122"/>
      <c r="G424" s="113" t="str">
        <f>IF(Tabela3[[#This Row],[Valor]]="","",G423+F424)</f>
        <v/>
      </c>
      <c r="H424" s="121"/>
      <c r="I424" s="120"/>
    </row>
    <row r="425" spans="1:9" x14ac:dyDescent="0.25">
      <c r="A425" s="4">
        <f>YEAR(Tabela3[[#This Row],[Data]])</f>
        <v>1900</v>
      </c>
      <c r="B425" s="121"/>
      <c r="C425" s="120"/>
      <c r="D425" s="120"/>
      <c r="E425" s="126" t="str">
        <f>IF(Tabela3[[#This Row],[Descrição]]="","",VLOOKUP(Tabela3[[#This Row],[Descrição]],Tabela4[[Descrição]:[Tipo Receita/ Gasto]],2,FALSE))</f>
        <v/>
      </c>
      <c r="F425" s="122"/>
      <c r="G425" s="113" t="str">
        <f>IF(Tabela3[[#This Row],[Valor]]="","",G424+F425)</f>
        <v/>
      </c>
      <c r="H425" s="121"/>
      <c r="I425" s="120"/>
    </row>
    <row r="426" spans="1:9" x14ac:dyDescent="0.25">
      <c r="A426" s="4">
        <f>YEAR(Tabela3[[#This Row],[Data]])</f>
        <v>1900</v>
      </c>
      <c r="B426" s="121"/>
      <c r="C426" s="120"/>
      <c r="D426" s="120"/>
      <c r="E426" s="126" t="str">
        <f>IF(Tabela3[[#This Row],[Descrição]]="","",VLOOKUP(Tabela3[[#This Row],[Descrição]],Tabela4[[Descrição]:[Tipo Receita/ Gasto]],2,FALSE))</f>
        <v/>
      </c>
      <c r="F426" s="122"/>
      <c r="G426" s="113" t="str">
        <f>IF(Tabela3[[#This Row],[Valor]]="","",G425+F426)</f>
        <v/>
      </c>
      <c r="H426" s="121"/>
      <c r="I426" s="120"/>
    </row>
    <row r="427" spans="1:9" x14ac:dyDescent="0.25">
      <c r="A427" s="4">
        <f>YEAR(Tabela3[[#This Row],[Data]])</f>
        <v>1900</v>
      </c>
      <c r="B427" s="121"/>
      <c r="C427" s="120"/>
      <c r="D427" s="120"/>
      <c r="E427" s="126" t="str">
        <f>IF(Tabela3[[#This Row],[Descrição]]="","",VLOOKUP(Tabela3[[#This Row],[Descrição]],Tabela4[[Descrição]:[Tipo Receita/ Gasto]],2,FALSE))</f>
        <v/>
      </c>
      <c r="F427" s="122"/>
      <c r="G427" s="113" t="str">
        <f>IF(Tabela3[[#This Row],[Valor]]="","",G426+F427)</f>
        <v/>
      </c>
      <c r="H427" s="121"/>
      <c r="I427" s="120"/>
    </row>
    <row r="428" spans="1:9" x14ac:dyDescent="0.25">
      <c r="A428" s="4">
        <f>YEAR(Tabela3[[#This Row],[Data]])</f>
        <v>1900</v>
      </c>
      <c r="B428" s="121"/>
      <c r="C428" s="120"/>
      <c r="D428" s="120"/>
      <c r="E428" s="126" t="str">
        <f>IF(Tabela3[[#This Row],[Descrição]]="","",VLOOKUP(Tabela3[[#This Row],[Descrição]],Tabela4[[Descrição]:[Tipo Receita/ Gasto]],2,FALSE))</f>
        <v/>
      </c>
      <c r="F428" s="122"/>
      <c r="G428" s="113" t="str">
        <f>IF(Tabela3[[#This Row],[Valor]]="","",G427+F428)</f>
        <v/>
      </c>
      <c r="H428" s="121"/>
      <c r="I428" s="120"/>
    </row>
    <row r="429" spans="1:9" x14ac:dyDescent="0.25">
      <c r="A429" s="4">
        <f>YEAR(Tabela3[[#This Row],[Data]])</f>
        <v>1900</v>
      </c>
      <c r="B429" s="121"/>
      <c r="C429" s="120"/>
      <c r="D429" s="120"/>
      <c r="E429" s="126" t="str">
        <f>IF(Tabela3[[#This Row],[Descrição]]="","",VLOOKUP(Tabela3[[#This Row],[Descrição]],Tabela4[[Descrição]:[Tipo Receita/ Gasto]],2,FALSE))</f>
        <v/>
      </c>
      <c r="F429" s="122"/>
      <c r="G429" s="113" t="str">
        <f>IF(Tabela3[[#This Row],[Valor]]="","",G428+F429)</f>
        <v/>
      </c>
      <c r="H429" s="121"/>
      <c r="I429" s="120"/>
    </row>
    <row r="430" spans="1:9" x14ac:dyDescent="0.25">
      <c r="A430" s="4">
        <f>YEAR(Tabela3[[#This Row],[Data]])</f>
        <v>1900</v>
      </c>
      <c r="B430" s="121"/>
      <c r="C430" s="120"/>
      <c r="D430" s="120"/>
      <c r="E430" s="126" t="str">
        <f>IF(Tabela3[[#This Row],[Descrição]]="","",VLOOKUP(Tabela3[[#This Row],[Descrição]],Tabela4[[Descrição]:[Tipo Receita/ Gasto]],2,FALSE))</f>
        <v/>
      </c>
      <c r="F430" s="122"/>
      <c r="G430" s="113" t="str">
        <f>IF(Tabela3[[#This Row],[Valor]]="","",G429+F430)</f>
        <v/>
      </c>
      <c r="H430" s="121"/>
      <c r="I430" s="120"/>
    </row>
    <row r="431" spans="1:9" x14ac:dyDescent="0.25">
      <c r="A431" s="4">
        <f>YEAR(Tabela3[[#This Row],[Data]])</f>
        <v>1900</v>
      </c>
      <c r="B431" s="121"/>
      <c r="C431" s="120"/>
      <c r="D431" s="120"/>
      <c r="E431" s="126" t="str">
        <f>IF(Tabela3[[#This Row],[Descrição]]="","",VLOOKUP(Tabela3[[#This Row],[Descrição]],Tabela4[[Descrição]:[Tipo Receita/ Gasto]],2,FALSE))</f>
        <v/>
      </c>
      <c r="F431" s="122"/>
      <c r="G431" s="113" t="str">
        <f>IF(Tabela3[[#This Row],[Valor]]="","",G430+F431)</f>
        <v/>
      </c>
      <c r="H431" s="121"/>
      <c r="I431" s="120"/>
    </row>
    <row r="432" spans="1:9" x14ac:dyDescent="0.25">
      <c r="A432" s="4">
        <f>YEAR(Tabela3[[#This Row],[Data]])</f>
        <v>1900</v>
      </c>
      <c r="B432" s="121"/>
      <c r="C432" s="120"/>
      <c r="D432" s="120"/>
      <c r="E432" s="126" t="str">
        <f>IF(Tabela3[[#This Row],[Descrição]]="","",VLOOKUP(Tabela3[[#This Row],[Descrição]],Tabela4[[Descrição]:[Tipo Receita/ Gasto]],2,FALSE))</f>
        <v/>
      </c>
      <c r="F432" s="122"/>
      <c r="G432" s="113" t="str">
        <f>IF(Tabela3[[#This Row],[Valor]]="","",G431+F432)</f>
        <v/>
      </c>
      <c r="H432" s="121"/>
      <c r="I432" s="120"/>
    </row>
    <row r="433" spans="1:9" x14ac:dyDescent="0.25">
      <c r="A433" s="4">
        <f>YEAR(Tabela3[[#This Row],[Data]])</f>
        <v>1900</v>
      </c>
      <c r="B433" s="121"/>
      <c r="C433" s="120"/>
      <c r="D433" s="120"/>
      <c r="E433" s="126" t="str">
        <f>IF(Tabela3[[#This Row],[Descrição]]="","",VLOOKUP(Tabela3[[#This Row],[Descrição]],Tabela4[[Descrição]:[Tipo Receita/ Gasto]],2,FALSE))</f>
        <v/>
      </c>
      <c r="F433" s="122"/>
      <c r="G433" s="113" t="str">
        <f>IF(Tabela3[[#This Row],[Valor]]="","",G432+F433)</f>
        <v/>
      </c>
      <c r="H433" s="121"/>
      <c r="I433" s="120"/>
    </row>
    <row r="434" spans="1:9" x14ac:dyDescent="0.25">
      <c r="A434" s="4">
        <f>YEAR(Tabela3[[#This Row],[Data]])</f>
        <v>1900</v>
      </c>
      <c r="B434" s="121"/>
      <c r="C434" s="120"/>
      <c r="D434" s="120"/>
      <c r="E434" s="126" t="str">
        <f>IF(Tabela3[[#This Row],[Descrição]]="","",VLOOKUP(Tabela3[[#This Row],[Descrição]],Tabela4[[Descrição]:[Tipo Receita/ Gasto]],2,FALSE))</f>
        <v/>
      </c>
      <c r="F434" s="122"/>
      <c r="G434" s="113" t="str">
        <f>IF(Tabela3[[#This Row],[Valor]]="","",G433+F434)</f>
        <v/>
      </c>
      <c r="H434" s="121"/>
      <c r="I434" s="120"/>
    </row>
    <row r="435" spans="1:9" x14ac:dyDescent="0.25">
      <c r="A435" s="4">
        <f>YEAR(Tabela3[[#This Row],[Data]])</f>
        <v>1900</v>
      </c>
      <c r="B435" s="121"/>
      <c r="C435" s="120"/>
      <c r="D435" s="120"/>
      <c r="E435" s="126" t="str">
        <f>IF(Tabela3[[#This Row],[Descrição]]="","",VLOOKUP(Tabela3[[#This Row],[Descrição]],Tabela4[[Descrição]:[Tipo Receita/ Gasto]],2,FALSE))</f>
        <v/>
      </c>
      <c r="F435" s="122"/>
      <c r="G435" s="113" t="str">
        <f>IF(Tabela3[[#This Row],[Valor]]="","",G434+F435)</f>
        <v/>
      </c>
      <c r="H435" s="121"/>
      <c r="I435" s="120"/>
    </row>
    <row r="436" spans="1:9" x14ac:dyDescent="0.25">
      <c r="A436" s="4">
        <f>YEAR(Tabela3[[#This Row],[Data]])</f>
        <v>1900</v>
      </c>
      <c r="B436" s="121"/>
      <c r="C436" s="120"/>
      <c r="D436" s="120"/>
      <c r="E436" s="126" t="str">
        <f>IF(Tabela3[[#This Row],[Descrição]]="","",VLOOKUP(Tabela3[[#This Row],[Descrição]],Tabela4[[Descrição]:[Tipo Receita/ Gasto]],2,FALSE))</f>
        <v/>
      </c>
      <c r="F436" s="122"/>
      <c r="G436" s="113" t="str">
        <f>IF(Tabela3[[#This Row],[Valor]]="","",G435+F436)</f>
        <v/>
      </c>
      <c r="H436" s="121"/>
      <c r="I436" s="120"/>
    </row>
    <row r="437" spans="1:9" x14ac:dyDescent="0.25">
      <c r="A437" s="4">
        <f>YEAR(Tabela3[[#This Row],[Data]])</f>
        <v>1900</v>
      </c>
      <c r="B437" s="121"/>
      <c r="C437" s="120"/>
      <c r="D437" s="120"/>
      <c r="E437" s="126" t="str">
        <f>IF(Tabela3[[#This Row],[Descrição]]="","",VLOOKUP(Tabela3[[#This Row],[Descrição]],Tabela4[[Descrição]:[Tipo Receita/ Gasto]],2,FALSE))</f>
        <v/>
      </c>
      <c r="F437" s="122"/>
      <c r="G437" s="113" t="str">
        <f>IF(Tabela3[[#This Row],[Valor]]="","",G436+F437)</f>
        <v/>
      </c>
      <c r="H437" s="121"/>
      <c r="I437" s="120"/>
    </row>
    <row r="438" spans="1:9" x14ac:dyDescent="0.25">
      <c r="A438" s="4">
        <f>YEAR(Tabela3[[#This Row],[Data]])</f>
        <v>1900</v>
      </c>
      <c r="B438" s="121"/>
      <c r="C438" s="120"/>
      <c r="D438" s="120"/>
      <c r="E438" s="126" t="str">
        <f>IF(Tabela3[[#This Row],[Descrição]]="","",VLOOKUP(Tabela3[[#This Row],[Descrição]],Tabela4[[Descrição]:[Tipo Receita/ Gasto]],2,FALSE))</f>
        <v/>
      </c>
      <c r="F438" s="122"/>
      <c r="G438" s="113" t="str">
        <f>IF(Tabela3[[#This Row],[Valor]]="","",G437+F438)</f>
        <v/>
      </c>
      <c r="H438" s="121"/>
      <c r="I438" s="120"/>
    </row>
    <row r="439" spans="1:9" x14ac:dyDescent="0.25">
      <c r="A439" s="4">
        <f>YEAR(Tabela3[[#This Row],[Data]])</f>
        <v>1900</v>
      </c>
      <c r="B439" s="121"/>
      <c r="C439" s="120"/>
      <c r="D439" s="120"/>
      <c r="E439" s="126" t="str">
        <f>IF(Tabela3[[#This Row],[Descrição]]="","",VLOOKUP(Tabela3[[#This Row],[Descrição]],Tabela4[[Descrição]:[Tipo Receita/ Gasto]],2,FALSE))</f>
        <v/>
      </c>
      <c r="F439" s="122"/>
      <c r="G439" s="113" t="str">
        <f>IF(Tabela3[[#This Row],[Valor]]="","",G438+F439)</f>
        <v/>
      </c>
      <c r="H439" s="121"/>
      <c r="I439" s="120"/>
    </row>
    <row r="440" spans="1:9" x14ac:dyDescent="0.25">
      <c r="A440" s="4">
        <f>YEAR(Tabela3[[#This Row],[Data]])</f>
        <v>1900</v>
      </c>
      <c r="B440" s="121"/>
      <c r="C440" s="120"/>
      <c r="D440" s="120"/>
      <c r="E440" s="126" t="str">
        <f>IF(Tabela3[[#This Row],[Descrição]]="","",VLOOKUP(Tabela3[[#This Row],[Descrição]],Tabela4[[Descrição]:[Tipo Receita/ Gasto]],2,FALSE))</f>
        <v/>
      </c>
      <c r="F440" s="122"/>
      <c r="G440" s="113" t="str">
        <f>IF(Tabela3[[#This Row],[Valor]]="","",G439+F440)</f>
        <v/>
      </c>
      <c r="H440" s="121"/>
      <c r="I440" s="120"/>
    </row>
    <row r="441" spans="1:9" x14ac:dyDescent="0.25">
      <c r="A441" s="4">
        <f>YEAR(Tabela3[[#This Row],[Data]])</f>
        <v>1900</v>
      </c>
      <c r="B441" s="121"/>
      <c r="C441" s="120"/>
      <c r="D441" s="120"/>
      <c r="E441" s="126" t="str">
        <f>IF(Tabela3[[#This Row],[Descrição]]="","",VLOOKUP(Tabela3[[#This Row],[Descrição]],Tabela4[[Descrição]:[Tipo Receita/ Gasto]],2,FALSE))</f>
        <v/>
      </c>
      <c r="F441" s="122"/>
      <c r="G441" s="113" t="str">
        <f>IF(Tabela3[[#This Row],[Valor]]="","",G440+F441)</f>
        <v/>
      </c>
      <c r="H441" s="121"/>
      <c r="I441" s="120"/>
    </row>
    <row r="442" spans="1:9" x14ac:dyDescent="0.25">
      <c r="A442" s="4">
        <f>YEAR(Tabela3[[#This Row],[Data]])</f>
        <v>1900</v>
      </c>
      <c r="B442" s="121"/>
      <c r="C442" s="120"/>
      <c r="D442" s="120"/>
      <c r="E442" s="126" t="str">
        <f>IF(Tabela3[[#This Row],[Descrição]]="","",VLOOKUP(Tabela3[[#This Row],[Descrição]],Tabela4[[Descrição]:[Tipo Receita/ Gasto]],2,FALSE))</f>
        <v/>
      </c>
      <c r="F442" s="122"/>
      <c r="G442" s="113" t="str">
        <f>IF(Tabela3[[#This Row],[Valor]]="","",G441+F442)</f>
        <v/>
      </c>
      <c r="H442" s="121"/>
      <c r="I442" s="120"/>
    </row>
    <row r="443" spans="1:9" x14ac:dyDescent="0.25">
      <c r="A443" s="4">
        <f>YEAR(Tabela3[[#This Row],[Data]])</f>
        <v>1900</v>
      </c>
      <c r="B443" s="121"/>
      <c r="C443" s="120"/>
      <c r="D443" s="120"/>
      <c r="E443" s="126" t="str">
        <f>IF(Tabela3[[#This Row],[Descrição]]="","",VLOOKUP(Tabela3[[#This Row],[Descrição]],Tabela4[[Descrição]:[Tipo Receita/ Gasto]],2,FALSE))</f>
        <v/>
      </c>
      <c r="F443" s="122"/>
      <c r="G443" s="113" t="str">
        <f>IF(Tabela3[[#This Row],[Valor]]="","",G442+F443)</f>
        <v/>
      </c>
      <c r="H443" s="121"/>
      <c r="I443" s="120"/>
    </row>
    <row r="444" spans="1:9" x14ac:dyDescent="0.25">
      <c r="A444" s="4">
        <f>YEAR(Tabela3[[#This Row],[Data]])</f>
        <v>1900</v>
      </c>
      <c r="B444" s="121"/>
      <c r="C444" s="120"/>
      <c r="D444" s="120"/>
      <c r="E444" s="126" t="str">
        <f>IF(Tabela3[[#This Row],[Descrição]]="","",VLOOKUP(Tabela3[[#This Row],[Descrição]],Tabela4[[Descrição]:[Tipo Receita/ Gasto]],2,FALSE))</f>
        <v/>
      </c>
      <c r="F444" s="122"/>
      <c r="G444" s="113" t="str">
        <f>IF(Tabela3[[#This Row],[Valor]]="","",G443+F444)</f>
        <v/>
      </c>
      <c r="H444" s="121"/>
      <c r="I444" s="120"/>
    </row>
    <row r="445" spans="1:9" x14ac:dyDescent="0.25">
      <c r="A445" s="4">
        <f>YEAR(Tabela3[[#This Row],[Data]])</f>
        <v>1900</v>
      </c>
      <c r="B445" s="121"/>
      <c r="C445" s="120"/>
      <c r="D445" s="120"/>
      <c r="E445" s="126" t="str">
        <f>IF(Tabela3[[#This Row],[Descrição]]="","",VLOOKUP(Tabela3[[#This Row],[Descrição]],Tabela4[[Descrição]:[Tipo Receita/ Gasto]],2,FALSE))</f>
        <v/>
      </c>
      <c r="F445" s="122"/>
      <c r="G445" s="113" t="str">
        <f>IF(Tabela3[[#This Row],[Valor]]="","",G444+F445)</f>
        <v/>
      </c>
      <c r="H445" s="121"/>
      <c r="I445" s="120"/>
    </row>
    <row r="446" spans="1:9" x14ac:dyDescent="0.25">
      <c r="A446" s="4">
        <f>YEAR(Tabela3[[#This Row],[Data]])</f>
        <v>1900</v>
      </c>
      <c r="B446" s="121"/>
      <c r="C446" s="120"/>
      <c r="D446" s="120"/>
      <c r="E446" s="126" t="str">
        <f>IF(Tabela3[[#This Row],[Descrição]]="","",VLOOKUP(Tabela3[[#This Row],[Descrição]],Tabela4[[Descrição]:[Tipo Receita/ Gasto]],2,FALSE))</f>
        <v/>
      </c>
      <c r="F446" s="122"/>
      <c r="G446" s="113" t="str">
        <f>IF(Tabela3[[#This Row],[Valor]]="","",G445+F446)</f>
        <v/>
      </c>
      <c r="H446" s="121"/>
      <c r="I446" s="120"/>
    </row>
    <row r="447" spans="1:9" x14ac:dyDescent="0.25">
      <c r="A447" s="4">
        <f>YEAR(Tabela3[[#This Row],[Data]])</f>
        <v>1900</v>
      </c>
      <c r="B447" s="121"/>
      <c r="C447" s="120"/>
      <c r="D447" s="120"/>
      <c r="E447" s="126" t="str">
        <f>IF(Tabela3[[#This Row],[Descrição]]="","",VLOOKUP(Tabela3[[#This Row],[Descrição]],Tabela4[[Descrição]:[Tipo Receita/ Gasto]],2,FALSE))</f>
        <v/>
      </c>
      <c r="F447" s="122"/>
      <c r="G447" s="113" t="str">
        <f>IF(Tabela3[[#This Row],[Valor]]="","",G446+F447)</f>
        <v/>
      </c>
      <c r="H447" s="121"/>
      <c r="I447" s="120"/>
    </row>
    <row r="448" spans="1:9" x14ac:dyDescent="0.25">
      <c r="A448" s="4">
        <f>YEAR(Tabela3[[#This Row],[Data]])</f>
        <v>1900</v>
      </c>
      <c r="B448" s="121"/>
      <c r="C448" s="120"/>
      <c r="D448" s="120"/>
      <c r="E448" s="126" t="str">
        <f>IF(Tabela3[[#This Row],[Descrição]]="","",VLOOKUP(Tabela3[[#This Row],[Descrição]],Tabela4[[Descrição]:[Tipo Receita/ Gasto]],2,FALSE))</f>
        <v/>
      </c>
      <c r="F448" s="122"/>
      <c r="G448" s="113" t="str">
        <f>IF(Tabela3[[#This Row],[Valor]]="","",G447+F448)</f>
        <v/>
      </c>
      <c r="H448" s="121"/>
      <c r="I448" s="120"/>
    </row>
    <row r="449" spans="1:9" x14ac:dyDescent="0.25">
      <c r="A449" s="4">
        <f>YEAR(Tabela3[[#This Row],[Data]])</f>
        <v>1900</v>
      </c>
      <c r="B449" s="121"/>
      <c r="C449" s="120"/>
      <c r="D449" s="120"/>
      <c r="E449" s="126" t="str">
        <f>IF(Tabela3[[#This Row],[Descrição]]="","",VLOOKUP(Tabela3[[#This Row],[Descrição]],Tabela4[[Descrição]:[Tipo Receita/ Gasto]],2,FALSE))</f>
        <v/>
      </c>
      <c r="F449" s="122"/>
      <c r="G449" s="113" t="str">
        <f>IF(Tabela3[[#This Row],[Valor]]="","",G448+F449)</f>
        <v/>
      </c>
      <c r="H449" s="121"/>
      <c r="I449" s="120"/>
    </row>
    <row r="450" spans="1:9" x14ac:dyDescent="0.25">
      <c r="A450" s="4">
        <f>YEAR(Tabela3[[#This Row],[Data]])</f>
        <v>1900</v>
      </c>
      <c r="B450" s="121"/>
      <c r="C450" s="120"/>
      <c r="D450" s="120"/>
      <c r="E450" s="126" t="str">
        <f>IF(Tabela3[[#This Row],[Descrição]]="","",VLOOKUP(Tabela3[[#This Row],[Descrição]],Tabela4[[Descrição]:[Tipo Receita/ Gasto]],2,FALSE))</f>
        <v/>
      </c>
      <c r="F450" s="122"/>
      <c r="G450" s="113" t="str">
        <f>IF(Tabela3[[#This Row],[Valor]]="","",G449+F450)</f>
        <v/>
      </c>
      <c r="H450" s="121"/>
      <c r="I450" s="120"/>
    </row>
    <row r="451" spans="1:9" x14ac:dyDescent="0.25">
      <c r="A451" s="4">
        <f>YEAR(Tabela3[[#This Row],[Data]])</f>
        <v>1900</v>
      </c>
      <c r="B451" s="121"/>
      <c r="C451" s="120"/>
      <c r="D451" s="120"/>
      <c r="E451" s="126" t="str">
        <f>IF(Tabela3[[#This Row],[Descrição]]="","",VLOOKUP(Tabela3[[#This Row],[Descrição]],Tabela4[[Descrição]:[Tipo Receita/ Gasto]],2,FALSE))</f>
        <v/>
      </c>
      <c r="F451" s="122"/>
      <c r="G451" s="113" t="str">
        <f>IF(Tabela3[[#This Row],[Valor]]="","",G450+F451)</f>
        <v/>
      </c>
      <c r="H451" s="121"/>
      <c r="I451" s="120"/>
    </row>
    <row r="452" spans="1:9" x14ac:dyDescent="0.25">
      <c r="A452" s="4">
        <f>YEAR(Tabela3[[#This Row],[Data]])</f>
        <v>1900</v>
      </c>
      <c r="B452" s="121"/>
      <c r="C452" s="120"/>
      <c r="D452" s="120"/>
      <c r="E452" s="126" t="str">
        <f>IF(Tabela3[[#This Row],[Descrição]]="","",VLOOKUP(Tabela3[[#This Row],[Descrição]],Tabela4[[Descrição]:[Tipo Receita/ Gasto]],2,FALSE))</f>
        <v/>
      </c>
      <c r="F452" s="122"/>
      <c r="G452" s="113" t="str">
        <f>IF(Tabela3[[#This Row],[Valor]]="","",G451+F452)</f>
        <v/>
      </c>
      <c r="H452" s="121"/>
      <c r="I452" s="120"/>
    </row>
    <row r="453" spans="1:9" x14ac:dyDescent="0.25">
      <c r="A453" s="4">
        <f>YEAR(Tabela3[[#This Row],[Data]])</f>
        <v>1900</v>
      </c>
      <c r="B453" s="121"/>
      <c r="C453" s="120"/>
      <c r="D453" s="120"/>
      <c r="E453" s="126" t="str">
        <f>IF(Tabela3[[#This Row],[Descrição]]="","",VLOOKUP(Tabela3[[#This Row],[Descrição]],Tabela4[[Descrição]:[Tipo Receita/ Gasto]],2,FALSE))</f>
        <v/>
      </c>
      <c r="F453" s="122"/>
      <c r="G453" s="113" t="str">
        <f>IF(Tabela3[[#This Row],[Valor]]="","",G452+F453)</f>
        <v/>
      </c>
      <c r="H453" s="121"/>
      <c r="I453" s="120"/>
    </row>
    <row r="454" spans="1:9" x14ac:dyDescent="0.25">
      <c r="A454" s="4">
        <f>YEAR(Tabela3[[#This Row],[Data]])</f>
        <v>1900</v>
      </c>
      <c r="B454" s="121"/>
      <c r="C454" s="120"/>
      <c r="D454" s="120"/>
      <c r="E454" s="126" t="str">
        <f>IF(Tabela3[[#This Row],[Descrição]]="","",VLOOKUP(Tabela3[[#This Row],[Descrição]],Tabela4[[Descrição]:[Tipo Receita/ Gasto]],2,FALSE))</f>
        <v/>
      </c>
      <c r="F454" s="122"/>
      <c r="G454" s="113" t="str">
        <f>IF(Tabela3[[#This Row],[Valor]]="","",G453+F454)</f>
        <v/>
      </c>
      <c r="H454" s="121"/>
      <c r="I454" s="120"/>
    </row>
    <row r="455" spans="1:9" x14ac:dyDescent="0.25">
      <c r="A455" s="4">
        <f>YEAR(Tabela3[[#This Row],[Data]])</f>
        <v>1900</v>
      </c>
      <c r="B455" s="121"/>
      <c r="C455" s="120"/>
      <c r="D455" s="120"/>
      <c r="E455" s="126" t="str">
        <f>IF(Tabela3[[#This Row],[Descrição]]="","",VLOOKUP(Tabela3[[#This Row],[Descrição]],Tabela4[[Descrição]:[Tipo Receita/ Gasto]],2,FALSE))</f>
        <v/>
      </c>
      <c r="F455" s="122"/>
      <c r="G455" s="113" t="str">
        <f>IF(Tabela3[[#This Row],[Valor]]="","",G454+F455)</f>
        <v/>
      </c>
      <c r="H455" s="121"/>
      <c r="I455" s="120"/>
    </row>
    <row r="456" spans="1:9" x14ac:dyDescent="0.25">
      <c r="A456" s="4">
        <f>YEAR(Tabela3[[#This Row],[Data]])</f>
        <v>1900</v>
      </c>
      <c r="B456" s="121"/>
      <c r="C456" s="120"/>
      <c r="D456" s="120"/>
      <c r="E456" s="126" t="str">
        <f>IF(Tabela3[[#This Row],[Descrição]]="","",VLOOKUP(Tabela3[[#This Row],[Descrição]],Tabela4[[Descrição]:[Tipo Receita/ Gasto]],2,FALSE))</f>
        <v/>
      </c>
      <c r="F456" s="122"/>
      <c r="G456" s="113" t="str">
        <f>IF(Tabela3[[#This Row],[Valor]]="","",G455+F456)</f>
        <v/>
      </c>
      <c r="H456" s="121"/>
      <c r="I456" s="120"/>
    </row>
    <row r="457" spans="1:9" x14ac:dyDescent="0.25">
      <c r="A457" s="4">
        <f>YEAR(Tabela3[[#This Row],[Data]])</f>
        <v>1900</v>
      </c>
      <c r="B457" s="121"/>
      <c r="C457" s="120"/>
      <c r="D457" s="120"/>
      <c r="E457" s="126" t="str">
        <f>IF(Tabela3[[#This Row],[Descrição]]="","",VLOOKUP(Tabela3[[#This Row],[Descrição]],Tabela4[[Descrição]:[Tipo Receita/ Gasto]],2,FALSE))</f>
        <v/>
      </c>
      <c r="F457" s="122"/>
      <c r="G457" s="113" t="str">
        <f>IF(Tabela3[[#This Row],[Valor]]="","",G456+F457)</f>
        <v/>
      </c>
      <c r="H457" s="121"/>
      <c r="I457" s="120"/>
    </row>
    <row r="458" spans="1:9" x14ac:dyDescent="0.25">
      <c r="A458" s="4">
        <f>YEAR(Tabela3[[#This Row],[Data]])</f>
        <v>1900</v>
      </c>
      <c r="B458" s="121"/>
      <c r="C458" s="120"/>
      <c r="D458" s="120"/>
      <c r="E458" s="126" t="str">
        <f>IF(Tabela3[[#This Row],[Descrição]]="","",VLOOKUP(Tabela3[[#This Row],[Descrição]],Tabela4[[Descrição]:[Tipo Receita/ Gasto]],2,FALSE))</f>
        <v/>
      </c>
      <c r="F458" s="122"/>
      <c r="G458" s="113" t="str">
        <f>IF(Tabela3[[#This Row],[Valor]]="","",G457+F458)</f>
        <v/>
      </c>
      <c r="H458" s="121"/>
      <c r="I458" s="120"/>
    </row>
    <row r="459" spans="1:9" x14ac:dyDescent="0.25">
      <c r="A459" s="4">
        <f>YEAR(Tabela3[[#This Row],[Data]])</f>
        <v>1900</v>
      </c>
      <c r="B459" s="121"/>
      <c r="C459" s="120"/>
      <c r="D459" s="120"/>
      <c r="E459" s="126" t="str">
        <f>IF(Tabela3[[#This Row],[Descrição]]="","",VLOOKUP(Tabela3[[#This Row],[Descrição]],Tabela4[[Descrição]:[Tipo Receita/ Gasto]],2,FALSE))</f>
        <v/>
      </c>
      <c r="F459" s="122"/>
      <c r="G459" s="113" t="str">
        <f>IF(Tabela3[[#This Row],[Valor]]="","",G458+F459)</f>
        <v/>
      </c>
      <c r="H459" s="121"/>
      <c r="I459" s="120"/>
    </row>
    <row r="460" spans="1:9" x14ac:dyDescent="0.25">
      <c r="A460" s="4">
        <f>YEAR(Tabela3[[#This Row],[Data]])</f>
        <v>1900</v>
      </c>
      <c r="B460" s="121"/>
      <c r="C460" s="120"/>
      <c r="D460" s="120"/>
      <c r="E460" s="126" t="str">
        <f>IF(Tabela3[[#This Row],[Descrição]]="","",VLOOKUP(Tabela3[[#This Row],[Descrição]],Tabela4[[Descrição]:[Tipo Receita/ Gasto]],2,FALSE))</f>
        <v/>
      </c>
      <c r="F460" s="122"/>
      <c r="G460" s="113" t="str">
        <f>IF(Tabela3[[#This Row],[Valor]]="","",G459+F460)</f>
        <v/>
      </c>
      <c r="H460" s="121"/>
      <c r="I460" s="120"/>
    </row>
    <row r="461" spans="1:9" x14ac:dyDescent="0.25">
      <c r="A461" s="4">
        <f>YEAR(Tabela3[[#This Row],[Data]])</f>
        <v>1900</v>
      </c>
      <c r="B461" s="121"/>
      <c r="C461" s="120"/>
      <c r="D461" s="120"/>
      <c r="E461" s="126" t="str">
        <f>IF(Tabela3[[#This Row],[Descrição]]="","",VLOOKUP(Tabela3[[#This Row],[Descrição]],Tabela4[[Descrição]:[Tipo Receita/ Gasto]],2,FALSE))</f>
        <v/>
      </c>
      <c r="F461" s="122"/>
      <c r="G461" s="113" t="str">
        <f>IF(Tabela3[[#This Row],[Valor]]="","",G460+F461)</f>
        <v/>
      </c>
      <c r="H461" s="121"/>
      <c r="I461" s="120"/>
    </row>
    <row r="462" spans="1:9" x14ac:dyDescent="0.25">
      <c r="A462" s="4">
        <f>YEAR(Tabela3[[#This Row],[Data]])</f>
        <v>1900</v>
      </c>
      <c r="B462" s="121"/>
      <c r="C462" s="120"/>
      <c r="D462" s="120"/>
      <c r="E462" s="126" t="str">
        <f>IF(Tabela3[[#This Row],[Descrição]]="","",VLOOKUP(Tabela3[[#This Row],[Descrição]],Tabela4[[Descrição]:[Tipo Receita/ Gasto]],2,FALSE))</f>
        <v/>
      </c>
      <c r="F462" s="122"/>
      <c r="G462" s="113" t="str">
        <f>IF(Tabela3[[#This Row],[Valor]]="","",G461+F462)</f>
        <v/>
      </c>
      <c r="H462" s="121"/>
      <c r="I462" s="120"/>
    </row>
    <row r="463" spans="1:9" x14ac:dyDescent="0.25">
      <c r="A463" s="4">
        <f>YEAR(Tabela3[[#This Row],[Data]])</f>
        <v>1900</v>
      </c>
      <c r="B463" s="121"/>
      <c r="C463" s="120"/>
      <c r="D463" s="120"/>
      <c r="E463" s="126" t="str">
        <f>IF(Tabela3[[#This Row],[Descrição]]="","",VLOOKUP(Tabela3[[#This Row],[Descrição]],Tabela4[[Descrição]:[Tipo Receita/ Gasto]],2,FALSE))</f>
        <v/>
      </c>
      <c r="F463" s="122"/>
      <c r="G463" s="113" t="str">
        <f>IF(Tabela3[[#This Row],[Valor]]="","",G462+F463)</f>
        <v/>
      </c>
      <c r="H463" s="121"/>
      <c r="I463" s="120"/>
    </row>
    <row r="464" spans="1:9" x14ac:dyDescent="0.25">
      <c r="A464" s="4">
        <f>YEAR(Tabela3[[#This Row],[Data]])</f>
        <v>1900</v>
      </c>
      <c r="B464" s="121"/>
      <c r="C464" s="120"/>
      <c r="D464" s="120"/>
      <c r="E464" s="126" t="str">
        <f>IF(Tabela3[[#This Row],[Descrição]]="","",VLOOKUP(Tabela3[[#This Row],[Descrição]],Tabela4[[Descrição]:[Tipo Receita/ Gasto]],2,FALSE))</f>
        <v/>
      </c>
      <c r="F464" s="122"/>
      <c r="G464" s="113" t="str">
        <f>IF(Tabela3[[#This Row],[Valor]]="","",G463+F464)</f>
        <v/>
      </c>
      <c r="H464" s="121"/>
      <c r="I464" s="120"/>
    </row>
    <row r="465" spans="1:9" x14ac:dyDescent="0.25">
      <c r="A465" s="4">
        <f>YEAR(Tabela3[[#This Row],[Data]])</f>
        <v>1900</v>
      </c>
      <c r="B465" s="121"/>
      <c r="C465" s="120"/>
      <c r="D465" s="120"/>
      <c r="E465" s="126" t="str">
        <f>IF(Tabela3[[#This Row],[Descrição]]="","",VLOOKUP(Tabela3[[#This Row],[Descrição]],Tabela4[[Descrição]:[Tipo Receita/ Gasto]],2,FALSE))</f>
        <v/>
      </c>
      <c r="F465" s="122"/>
      <c r="G465" s="113" t="str">
        <f>IF(Tabela3[[#This Row],[Valor]]="","",G464+F465)</f>
        <v/>
      </c>
      <c r="H465" s="121"/>
      <c r="I465" s="120"/>
    </row>
    <row r="466" spans="1:9" x14ac:dyDescent="0.25">
      <c r="A466" s="4">
        <f>YEAR(Tabela3[[#This Row],[Data]])</f>
        <v>1900</v>
      </c>
      <c r="B466" s="121"/>
      <c r="C466" s="120"/>
      <c r="D466" s="120"/>
      <c r="E466" s="126" t="str">
        <f>IF(Tabela3[[#This Row],[Descrição]]="","",VLOOKUP(Tabela3[[#This Row],[Descrição]],Tabela4[[Descrição]:[Tipo Receita/ Gasto]],2,FALSE))</f>
        <v/>
      </c>
      <c r="F466" s="122"/>
      <c r="G466" s="113" t="str">
        <f>IF(Tabela3[[#This Row],[Valor]]="","",G465+F466)</f>
        <v/>
      </c>
      <c r="H466" s="121"/>
      <c r="I466" s="120"/>
    </row>
    <row r="467" spans="1:9" x14ac:dyDescent="0.25">
      <c r="A467" s="4">
        <f>YEAR(Tabela3[[#This Row],[Data]])</f>
        <v>1900</v>
      </c>
      <c r="B467" s="121"/>
      <c r="C467" s="120"/>
      <c r="D467" s="120"/>
      <c r="E467" s="126" t="str">
        <f>IF(Tabela3[[#This Row],[Descrição]]="","",VLOOKUP(Tabela3[[#This Row],[Descrição]],Tabela4[[Descrição]:[Tipo Receita/ Gasto]],2,FALSE))</f>
        <v/>
      </c>
      <c r="F467" s="122"/>
      <c r="G467" s="113" t="str">
        <f>IF(Tabela3[[#This Row],[Valor]]="","",G466+F467)</f>
        <v/>
      </c>
      <c r="H467" s="121"/>
      <c r="I467" s="120"/>
    </row>
    <row r="468" spans="1:9" x14ac:dyDescent="0.25">
      <c r="A468" s="4">
        <f>YEAR(Tabela3[[#This Row],[Data]])</f>
        <v>1900</v>
      </c>
      <c r="B468" s="121"/>
      <c r="C468" s="120"/>
      <c r="D468" s="120"/>
      <c r="E468" s="126" t="str">
        <f>IF(Tabela3[[#This Row],[Descrição]]="","",VLOOKUP(Tabela3[[#This Row],[Descrição]],Tabela4[[Descrição]:[Tipo Receita/ Gasto]],2,FALSE))</f>
        <v/>
      </c>
      <c r="F468" s="122"/>
      <c r="G468" s="113" t="str">
        <f>IF(Tabela3[[#This Row],[Valor]]="","",G467+F468)</f>
        <v/>
      </c>
      <c r="H468" s="121"/>
      <c r="I468" s="120"/>
    </row>
    <row r="469" spans="1:9" x14ac:dyDescent="0.25">
      <c r="A469" s="4">
        <f>YEAR(Tabela3[[#This Row],[Data]])</f>
        <v>1900</v>
      </c>
      <c r="B469" s="121"/>
      <c r="C469" s="120"/>
      <c r="D469" s="120"/>
      <c r="E469" s="126" t="str">
        <f>IF(Tabela3[[#This Row],[Descrição]]="","",VLOOKUP(Tabela3[[#This Row],[Descrição]],Tabela4[[Descrição]:[Tipo Receita/ Gasto]],2,FALSE))</f>
        <v/>
      </c>
      <c r="F469" s="122"/>
      <c r="G469" s="113" t="str">
        <f>IF(Tabela3[[#This Row],[Valor]]="","",G468+F469)</f>
        <v/>
      </c>
      <c r="H469" s="121"/>
      <c r="I469" s="120"/>
    </row>
    <row r="470" spans="1:9" x14ac:dyDescent="0.25">
      <c r="A470" s="4">
        <f>YEAR(Tabela3[[#This Row],[Data]])</f>
        <v>1900</v>
      </c>
      <c r="B470" s="121"/>
      <c r="C470" s="120"/>
      <c r="D470" s="120"/>
      <c r="E470" s="126" t="str">
        <f>IF(Tabela3[[#This Row],[Descrição]]="","",VLOOKUP(Tabela3[[#This Row],[Descrição]],Tabela4[[Descrição]:[Tipo Receita/ Gasto]],2,FALSE))</f>
        <v/>
      </c>
      <c r="F470" s="122"/>
      <c r="G470" s="113" t="str">
        <f>IF(Tabela3[[#This Row],[Valor]]="","",G469+F470)</f>
        <v/>
      </c>
      <c r="H470" s="121"/>
      <c r="I470" s="120"/>
    </row>
    <row r="471" spans="1:9" x14ac:dyDescent="0.25">
      <c r="A471" s="4">
        <f>YEAR(Tabela3[[#This Row],[Data]])</f>
        <v>1900</v>
      </c>
      <c r="B471" s="121"/>
      <c r="C471" s="120"/>
      <c r="D471" s="120"/>
      <c r="E471" s="126" t="str">
        <f>IF(Tabela3[[#This Row],[Descrição]]="","",VLOOKUP(Tabela3[[#This Row],[Descrição]],Tabela4[[Descrição]:[Tipo Receita/ Gasto]],2,FALSE))</f>
        <v/>
      </c>
      <c r="F471" s="122"/>
      <c r="G471" s="113" t="str">
        <f>IF(Tabela3[[#This Row],[Valor]]="","",G470+F471)</f>
        <v/>
      </c>
      <c r="H471" s="121"/>
      <c r="I471" s="120"/>
    </row>
    <row r="472" spans="1:9" x14ac:dyDescent="0.25">
      <c r="A472" s="4">
        <f>YEAR(Tabela3[[#This Row],[Data]])</f>
        <v>1900</v>
      </c>
      <c r="B472" s="121"/>
      <c r="C472" s="120"/>
      <c r="D472" s="120"/>
      <c r="E472" s="126" t="str">
        <f>IF(Tabela3[[#This Row],[Descrição]]="","",VLOOKUP(Tabela3[[#This Row],[Descrição]],Tabela4[[Descrição]:[Tipo Receita/ Gasto]],2,FALSE))</f>
        <v/>
      </c>
      <c r="F472" s="122"/>
      <c r="G472" s="113" t="str">
        <f>IF(Tabela3[[#This Row],[Valor]]="","",G471+F472)</f>
        <v/>
      </c>
      <c r="H472" s="121"/>
      <c r="I472" s="120"/>
    </row>
    <row r="473" spans="1:9" x14ac:dyDescent="0.25">
      <c r="A473" s="4">
        <f>YEAR(Tabela3[[#This Row],[Data]])</f>
        <v>1900</v>
      </c>
      <c r="B473" s="121"/>
      <c r="C473" s="120"/>
      <c r="D473" s="120"/>
      <c r="E473" s="126" t="str">
        <f>IF(Tabela3[[#This Row],[Descrição]]="","",VLOOKUP(Tabela3[[#This Row],[Descrição]],Tabela4[[Descrição]:[Tipo Receita/ Gasto]],2,FALSE))</f>
        <v/>
      </c>
      <c r="F473" s="122"/>
      <c r="G473" s="113" t="str">
        <f>IF(Tabela3[[#This Row],[Valor]]="","",G472+F473)</f>
        <v/>
      </c>
      <c r="H473" s="121"/>
      <c r="I473" s="120"/>
    </row>
    <row r="474" spans="1:9" x14ac:dyDescent="0.25">
      <c r="A474" s="4">
        <f>YEAR(Tabela3[[#This Row],[Data]])</f>
        <v>1900</v>
      </c>
      <c r="B474" s="121"/>
      <c r="C474" s="120"/>
      <c r="D474" s="120"/>
      <c r="E474" s="126" t="str">
        <f>IF(Tabela3[[#This Row],[Descrição]]="","",VLOOKUP(Tabela3[[#This Row],[Descrição]],Tabela4[[Descrição]:[Tipo Receita/ Gasto]],2,FALSE))</f>
        <v/>
      </c>
      <c r="F474" s="122"/>
      <c r="G474" s="113" t="str">
        <f>IF(Tabela3[[#This Row],[Valor]]="","",G473+F474)</f>
        <v/>
      </c>
      <c r="H474" s="121"/>
      <c r="I474" s="120"/>
    </row>
    <row r="475" spans="1:9" x14ac:dyDescent="0.25">
      <c r="A475" s="4">
        <f>YEAR(Tabela3[[#This Row],[Data]])</f>
        <v>1900</v>
      </c>
      <c r="B475" s="121"/>
      <c r="C475" s="120"/>
      <c r="D475" s="120"/>
      <c r="E475" s="126" t="str">
        <f>IF(Tabela3[[#This Row],[Descrição]]="","",VLOOKUP(Tabela3[[#This Row],[Descrição]],Tabela4[[Descrição]:[Tipo Receita/ Gasto]],2,FALSE))</f>
        <v/>
      </c>
      <c r="F475" s="122"/>
      <c r="G475" s="113" t="str">
        <f>IF(Tabela3[[#This Row],[Valor]]="","",G474+F475)</f>
        <v/>
      </c>
      <c r="H475" s="121"/>
      <c r="I475" s="120"/>
    </row>
    <row r="476" spans="1:9" x14ac:dyDescent="0.25">
      <c r="A476" s="4">
        <f>YEAR(Tabela3[[#This Row],[Data]])</f>
        <v>1900</v>
      </c>
      <c r="B476" s="121"/>
      <c r="C476" s="120"/>
      <c r="D476" s="120"/>
      <c r="E476" s="126" t="str">
        <f>IF(Tabela3[[#This Row],[Descrição]]="","",VLOOKUP(Tabela3[[#This Row],[Descrição]],Tabela4[[Descrição]:[Tipo Receita/ Gasto]],2,FALSE))</f>
        <v/>
      </c>
      <c r="F476" s="122"/>
      <c r="G476" s="113" t="str">
        <f>IF(Tabela3[[#This Row],[Valor]]="","",G475+F476)</f>
        <v/>
      </c>
      <c r="H476" s="121"/>
      <c r="I476" s="120"/>
    </row>
    <row r="477" spans="1:9" x14ac:dyDescent="0.25">
      <c r="A477" s="4">
        <f>YEAR(Tabela3[[#This Row],[Data]])</f>
        <v>1900</v>
      </c>
      <c r="B477" s="121"/>
      <c r="C477" s="120"/>
      <c r="D477" s="120"/>
      <c r="E477" s="126" t="str">
        <f>IF(Tabela3[[#This Row],[Descrição]]="","",VLOOKUP(Tabela3[[#This Row],[Descrição]],Tabela4[[Descrição]:[Tipo Receita/ Gasto]],2,FALSE))</f>
        <v/>
      </c>
      <c r="F477" s="122"/>
      <c r="G477" s="113" t="str">
        <f>IF(Tabela3[[#This Row],[Valor]]="","",G476+F477)</f>
        <v/>
      </c>
      <c r="H477" s="121"/>
      <c r="I477" s="120"/>
    </row>
    <row r="478" spans="1:9" x14ac:dyDescent="0.25">
      <c r="A478" s="4">
        <f>YEAR(Tabela3[[#This Row],[Data]])</f>
        <v>1900</v>
      </c>
      <c r="B478" s="121"/>
      <c r="C478" s="120"/>
      <c r="D478" s="120"/>
      <c r="E478" s="126" t="str">
        <f>IF(Tabela3[[#This Row],[Descrição]]="","",VLOOKUP(Tabela3[[#This Row],[Descrição]],Tabela4[[Descrição]:[Tipo Receita/ Gasto]],2,FALSE))</f>
        <v/>
      </c>
      <c r="F478" s="122"/>
      <c r="G478" s="113" t="str">
        <f>IF(Tabela3[[#This Row],[Valor]]="","",G477+F478)</f>
        <v/>
      </c>
      <c r="H478" s="121"/>
      <c r="I478" s="120"/>
    </row>
    <row r="479" spans="1:9" x14ac:dyDescent="0.25">
      <c r="A479" s="4">
        <f>YEAR(Tabela3[[#This Row],[Data]])</f>
        <v>1900</v>
      </c>
      <c r="B479" s="121"/>
      <c r="C479" s="120"/>
      <c r="D479" s="120"/>
      <c r="E479" s="126" t="str">
        <f>IF(Tabela3[[#This Row],[Descrição]]="","",VLOOKUP(Tabela3[[#This Row],[Descrição]],Tabela4[[Descrição]:[Tipo Receita/ Gasto]],2,FALSE))</f>
        <v/>
      </c>
      <c r="F479" s="122"/>
      <c r="G479" s="113" t="str">
        <f>IF(Tabela3[[#This Row],[Valor]]="","",G478+F479)</f>
        <v/>
      </c>
      <c r="H479" s="121"/>
      <c r="I479" s="120"/>
    </row>
    <row r="480" spans="1:9" x14ac:dyDescent="0.25">
      <c r="A480" s="4">
        <f>YEAR(Tabela3[[#This Row],[Data]])</f>
        <v>1900</v>
      </c>
      <c r="B480" s="121"/>
      <c r="C480" s="120"/>
      <c r="D480" s="120"/>
      <c r="E480" s="126" t="str">
        <f>IF(Tabela3[[#This Row],[Descrição]]="","",VLOOKUP(Tabela3[[#This Row],[Descrição]],Tabela4[[Descrição]:[Tipo Receita/ Gasto]],2,FALSE))</f>
        <v/>
      </c>
      <c r="F480" s="122"/>
      <c r="G480" s="113" t="str">
        <f>IF(Tabela3[[#This Row],[Valor]]="","",G479+F480)</f>
        <v/>
      </c>
      <c r="H480" s="121"/>
      <c r="I480" s="120"/>
    </row>
    <row r="481" spans="1:9" x14ac:dyDescent="0.25">
      <c r="A481" s="4">
        <f>YEAR(Tabela3[[#This Row],[Data]])</f>
        <v>1900</v>
      </c>
      <c r="B481" s="121"/>
      <c r="C481" s="120"/>
      <c r="D481" s="120"/>
      <c r="E481" s="126" t="str">
        <f>IF(Tabela3[[#This Row],[Descrição]]="","",VLOOKUP(Tabela3[[#This Row],[Descrição]],Tabela4[[Descrição]:[Tipo Receita/ Gasto]],2,FALSE))</f>
        <v/>
      </c>
      <c r="F481" s="122"/>
      <c r="G481" s="113" t="str">
        <f>IF(Tabela3[[#This Row],[Valor]]="","",G480+F481)</f>
        <v/>
      </c>
      <c r="H481" s="121"/>
      <c r="I481" s="120"/>
    </row>
    <row r="482" spans="1:9" x14ac:dyDescent="0.25">
      <c r="A482" s="4">
        <f>YEAR(Tabela3[[#This Row],[Data]])</f>
        <v>1900</v>
      </c>
      <c r="B482" s="121"/>
      <c r="C482" s="120"/>
      <c r="D482" s="120"/>
      <c r="E482" s="126" t="str">
        <f>IF(Tabela3[[#This Row],[Descrição]]="","",VLOOKUP(Tabela3[[#This Row],[Descrição]],Tabela4[[Descrição]:[Tipo Receita/ Gasto]],2,FALSE))</f>
        <v/>
      </c>
      <c r="F482" s="122"/>
      <c r="G482" s="113" t="str">
        <f>IF(Tabela3[[#This Row],[Valor]]="","",G481+F482)</f>
        <v/>
      </c>
      <c r="H482" s="121"/>
      <c r="I482" s="120"/>
    </row>
    <row r="483" spans="1:9" x14ac:dyDescent="0.25">
      <c r="A483" s="4">
        <f>YEAR(Tabela3[[#This Row],[Data]])</f>
        <v>1900</v>
      </c>
      <c r="B483" s="121"/>
      <c r="C483" s="120"/>
      <c r="D483" s="120"/>
      <c r="E483" s="126" t="str">
        <f>IF(Tabela3[[#This Row],[Descrição]]="","",VLOOKUP(Tabela3[[#This Row],[Descrição]],Tabela4[[Descrição]:[Tipo Receita/ Gasto]],2,FALSE))</f>
        <v/>
      </c>
      <c r="F483" s="122"/>
      <c r="G483" s="113" t="str">
        <f>IF(Tabela3[[#This Row],[Valor]]="","",G482+F483)</f>
        <v/>
      </c>
      <c r="H483" s="121"/>
      <c r="I483" s="120"/>
    </row>
    <row r="484" spans="1:9" x14ac:dyDescent="0.25">
      <c r="A484" s="4">
        <f>YEAR(Tabela3[[#This Row],[Data]])</f>
        <v>1900</v>
      </c>
      <c r="B484" s="121"/>
      <c r="C484" s="120"/>
      <c r="D484" s="120"/>
      <c r="E484" s="126" t="str">
        <f>IF(Tabela3[[#This Row],[Descrição]]="","",VLOOKUP(Tabela3[[#This Row],[Descrição]],Tabela4[[Descrição]:[Tipo Receita/ Gasto]],2,FALSE))</f>
        <v/>
      </c>
      <c r="F484" s="122"/>
      <c r="G484" s="113" t="str">
        <f>IF(Tabela3[[#This Row],[Valor]]="","",G483+F484)</f>
        <v/>
      </c>
      <c r="H484" s="121"/>
      <c r="I484" s="120"/>
    </row>
    <row r="485" spans="1:9" x14ac:dyDescent="0.25">
      <c r="A485" s="4">
        <f>YEAR(Tabela3[[#This Row],[Data]])</f>
        <v>1900</v>
      </c>
      <c r="B485" s="121"/>
      <c r="C485" s="120"/>
      <c r="D485" s="120"/>
      <c r="E485" s="126" t="str">
        <f>IF(Tabela3[[#This Row],[Descrição]]="","",VLOOKUP(Tabela3[[#This Row],[Descrição]],Tabela4[[Descrição]:[Tipo Receita/ Gasto]],2,FALSE))</f>
        <v/>
      </c>
      <c r="F485" s="122"/>
      <c r="G485" s="113" t="str">
        <f>IF(Tabela3[[#This Row],[Valor]]="","",G484+F485)</f>
        <v/>
      </c>
      <c r="H485" s="121"/>
      <c r="I485" s="120"/>
    </row>
    <row r="486" spans="1:9" x14ac:dyDescent="0.25">
      <c r="A486" s="4">
        <f>YEAR(Tabela3[[#This Row],[Data]])</f>
        <v>1900</v>
      </c>
      <c r="B486" s="121"/>
      <c r="C486" s="120"/>
      <c r="D486" s="120"/>
      <c r="E486" s="126" t="str">
        <f>IF(Tabela3[[#This Row],[Descrição]]="","",VLOOKUP(Tabela3[[#This Row],[Descrição]],Tabela4[[Descrição]:[Tipo Receita/ Gasto]],2,FALSE))</f>
        <v/>
      </c>
      <c r="F486" s="122"/>
      <c r="G486" s="113" t="str">
        <f>IF(Tabela3[[#This Row],[Valor]]="","",G485+F486)</f>
        <v/>
      </c>
      <c r="H486" s="121"/>
      <c r="I486" s="120"/>
    </row>
    <row r="487" spans="1:9" x14ac:dyDescent="0.25">
      <c r="A487" s="4">
        <f>YEAR(Tabela3[[#This Row],[Data]])</f>
        <v>1900</v>
      </c>
      <c r="B487" s="121"/>
      <c r="C487" s="120"/>
      <c r="D487" s="120"/>
      <c r="E487" s="126" t="str">
        <f>IF(Tabela3[[#This Row],[Descrição]]="","",VLOOKUP(Tabela3[[#This Row],[Descrição]],Tabela4[[Descrição]:[Tipo Receita/ Gasto]],2,FALSE))</f>
        <v/>
      </c>
      <c r="F487" s="122"/>
      <c r="G487" s="113" t="str">
        <f>IF(Tabela3[[#This Row],[Valor]]="","",G486+F487)</f>
        <v/>
      </c>
      <c r="H487" s="121"/>
      <c r="I487" s="120"/>
    </row>
    <row r="488" spans="1:9" x14ac:dyDescent="0.25">
      <c r="A488" s="4">
        <f>YEAR(Tabela3[[#This Row],[Data]])</f>
        <v>1900</v>
      </c>
      <c r="B488" s="121"/>
      <c r="C488" s="120"/>
      <c r="D488" s="120"/>
      <c r="E488" s="126" t="str">
        <f>IF(Tabela3[[#This Row],[Descrição]]="","",VLOOKUP(Tabela3[[#This Row],[Descrição]],Tabela4[[Descrição]:[Tipo Receita/ Gasto]],2,FALSE))</f>
        <v/>
      </c>
      <c r="F488" s="122"/>
      <c r="G488" s="113" t="str">
        <f>IF(Tabela3[[#This Row],[Valor]]="","",G487+F488)</f>
        <v/>
      </c>
      <c r="H488" s="121"/>
      <c r="I488" s="120"/>
    </row>
    <row r="489" spans="1:9" x14ac:dyDescent="0.25">
      <c r="A489" s="4">
        <f>YEAR(Tabela3[[#This Row],[Data]])</f>
        <v>1900</v>
      </c>
      <c r="B489" s="121"/>
      <c r="C489" s="120"/>
      <c r="D489" s="120"/>
      <c r="E489" s="126" t="str">
        <f>IF(Tabela3[[#This Row],[Descrição]]="","",VLOOKUP(Tabela3[[#This Row],[Descrição]],Tabela4[[Descrição]:[Tipo Receita/ Gasto]],2,FALSE))</f>
        <v/>
      </c>
      <c r="F489" s="122"/>
      <c r="G489" s="113" t="str">
        <f>IF(Tabela3[[#This Row],[Valor]]="","",G488+F489)</f>
        <v/>
      </c>
      <c r="H489" s="121"/>
      <c r="I489" s="120"/>
    </row>
    <row r="490" spans="1:9" x14ac:dyDescent="0.25">
      <c r="A490" s="4">
        <f>YEAR(Tabela3[[#This Row],[Data]])</f>
        <v>1900</v>
      </c>
      <c r="B490" s="121"/>
      <c r="C490" s="120"/>
      <c r="D490" s="120"/>
      <c r="E490" s="126" t="str">
        <f>IF(Tabela3[[#This Row],[Descrição]]="","",VLOOKUP(Tabela3[[#This Row],[Descrição]],Tabela4[[Descrição]:[Tipo Receita/ Gasto]],2,FALSE))</f>
        <v/>
      </c>
      <c r="F490" s="122"/>
      <c r="G490" s="113" t="str">
        <f>IF(Tabela3[[#This Row],[Valor]]="","",G489+F490)</f>
        <v/>
      </c>
      <c r="H490" s="121"/>
      <c r="I490" s="120"/>
    </row>
    <row r="491" spans="1:9" x14ac:dyDescent="0.25">
      <c r="A491" s="4">
        <f>YEAR(Tabela3[[#This Row],[Data]])</f>
        <v>1900</v>
      </c>
      <c r="B491" s="121"/>
      <c r="C491" s="120"/>
      <c r="D491" s="120"/>
      <c r="E491" s="126" t="str">
        <f>IF(Tabela3[[#This Row],[Descrição]]="","",VLOOKUP(Tabela3[[#This Row],[Descrição]],Tabela4[[Descrição]:[Tipo Receita/ Gasto]],2,FALSE))</f>
        <v/>
      </c>
      <c r="F491" s="122"/>
      <c r="G491" s="113" t="str">
        <f>IF(Tabela3[[#This Row],[Valor]]="","",G490+F491)</f>
        <v/>
      </c>
      <c r="H491" s="121"/>
      <c r="I491" s="120"/>
    </row>
    <row r="492" spans="1:9" x14ac:dyDescent="0.25">
      <c r="A492" s="4">
        <f>YEAR(Tabela3[[#This Row],[Data]])</f>
        <v>1900</v>
      </c>
      <c r="B492" s="121"/>
      <c r="C492" s="120"/>
      <c r="D492" s="120"/>
      <c r="E492" s="126" t="str">
        <f>IF(Tabela3[[#This Row],[Descrição]]="","",VLOOKUP(Tabela3[[#This Row],[Descrição]],Tabela4[[Descrição]:[Tipo Receita/ Gasto]],2,FALSE))</f>
        <v/>
      </c>
      <c r="F492" s="122"/>
      <c r="G492" s="113" t="str">
        <f>IF(Tabela3[[#This Row],[Valor]]="","",G491+F492)</f>
        <v/>
      </c>
      <c r="H492" s="121"/>
      <c r="I492" s="120"/>
    </row>
    <row r="493" spans="1:9" x14ac:dyDescent="0.25">
      <c r="A493" s="4">
        <f>YEAR(Tabela3[[#This Row],[Data]])</f>
        <v>1900</v>
      </c>
      <c r="B493" s="121"/>
      <c r="C493" s="120"/>
      <c r="D493" s="120"/>
      <c r="E493" s="126" t="str">
        <f>IF(Tabela3[[#This Row],[Descrição]]="","",VLOOKUP(Tabela3[[#This Row],[Descrição]],Tabela4[[Descrição]:[Tipo Receita/ Gasto]],2,FALSE))</f>
        <v/>
      </c>
      <c r="F493" s="122"/>
      <c r="G493" s="113" t="str">
        <f>IF(Tabela3[[#This Row],[Valor]]="","",G492+F493)</f>
        <v/>
      </c>
      <c r="H493" s="121"/>
      <c r="I493" s="120"/>
    </row>
    <row r="494" spans="1:9" x14ac:dyDescent="0.25">
      <c r="A494" s="4">
        <f>YEAR(Tabela3[[#This Row],[Data]])</f>
        <v>1900</v>
      </c>
      <c r="B494" s="121"/>
      <c r="C494" s="120"/>
      <c r="D494" s="120"/>
      <c r="E494" s="126" t="str">
        <f>IF(Tabela3[[#This Row],[Descrição]]="","",VLOOKUP(Tabela3[[#This Row],[Descrição]],Tabela4[[Descrição]:[Tipo Receita/ Gasto]],2,FALSE))</f>
        <v/>
      </c>
      <c r="F494" s="122"/>
      <c r="G494" s="113" t="str">
        <f>IF(Tabela3[[#This Row],[Valor]]="","",G493+F494)</f>
        <v/>
      </c>
      <c r="H494" s="121"/>
      <c r="I494" s="120"/>
    </row>
    <row r="495" spans="1:9" x14ac:dyDescent="0.25">
      <c r="A495" s="4">
        <f>YEAR(Tabela3[[#This Row],[Data]])</f>
        <v>1900</v>
      </c>
      <c r="B495" s="121"/>
      <c r="C495" s="120"/>
      <c r="D495" s="120"/>
      <c r="E495" s="126" t="str">
        <f>IF(Tabela3[[#This Row],[Descrição]]="","",VLOOKUP(Tabela3[[#This Row],[Descrição]],Tabela4[[Descrição]:[Tipo Receita/ Gasto]],2,FALSE))</f>
        <v/>
      </c>
      <c r="F495" s="122"/>
      <c r="G495" s="113" t="str">
        <f>IF(Tabela3[[#This Row],[Valor]]="","",G494+F495)</f>
        <v/>
      </c>
      <c r="H495" s="121"/>
      <c r="I495" s="120"/>
    </row>
    <row r="496" spans="1:9" x14ac:dyDescent="0.25">
      <c r="A496" s="4">
        <f>YEAR(Tabela3[[#This Row],[Data]])</f>
        <v>1900</v>
      </c>
      <c r="B496" s="121"/>
      <c r="C496" s="120"/>
      <c r="D496" s="120"/>
      <c r="E496" s="126" t="str">
        <f>IF(Tabela3[[#This Row],[Descrição]]="","",VLOOKUP(Tabela3[[#This Row],[Descrição]],Tabela4[[Descrição]:[Tipo Receita/ Gasto]],2,FALSE))</f>
        <v/>
      </c>
      <c r="F496" s="122"/>
      <c r="G496" s="113" t="str">
        <f>IF(Tabela3[[#This Row],[Valor]]="","",G495+F496)</f>
        <v/>
      </c>
      <c r="H496" s="121"/>
      <c r="I496" s="120"/>
    </row>
    <row r="497" spans="1:9" x14ac:dyDescent="0.25">
      <c r="A497" s="4">
        <f>YEAR(Tabela3[[#This Row],[Data]])</f>
        <v>1900</v>
      </c>
      <c r="B497" s="121"/>
      <c r="C497" s="120"/>
      <c r="D497" s="120"/>
      <c r="E497" s="126" t="str">
        <f>IF(Tabela3[[#This Row],[Descrição]]="","",VLOOKUP(Tabela3[[#This Row],[Descrição]],Tabela4[[Descrição]:[Tipo Receita/ Gasto]],2,FALSE))</f>
        <v/>
      </c>
      <c r="F497" s="122"/>
      <c r="G497" s="113" t="str">
        <f>IF(Tabela3[[#This Row],[Valor]]="","",G496+F497)</f>
        <v/>
      </c>
      <c r="H497" s="121"/>
      <c r="I497" s="120"/>
    </row>
    <row r="498" spans="1:9" x14ac:dyDescent="0.25">
      <c r="A498" s="4">
        <f>YEAR(Tabela3[[#This Row],[Data]])</f>
        <v>1900</v>
      </c>
      <c r="B498" s="121"/>
      <c r="C498" s="120"/>
      <c r="D498" s="120"/>
      <c r="E498" s="126" t="str">
        <f>IF(Tabela3[[#This Row],[Descrição]]="","",VLOOKUP(Tabela3[[#This Row],[Descrição]],Tabela4[[Descrição]:[Tipo Receita/ Gasto]],2,FALSE))</f>
        <v/>
      </c>
      <c r="F498" s="122"/>
      <c r="G498" s="113" t="str">
        <f>IF(Tabela3[[#This Row],[Valor]]="","",G497+F498)</f>
        <v/>
      </c>
      <c r="H498" s="121"/>
      <c r="I498" s="120"/>
    </row>
    <row r="499" spans="1:9" x14ac:dyDescent="0.25">
      <c r="A499" s="4">
        <f>YEAR(Tabela3[[#This Row],[Data]])</f>
        <v>1900</v>
      </c>
      <c r="B499" s="121"/>
      <c r="C499" s="120"/>
      <c r="D499" s="120"/>
      <c r="E499" s="126" t="str">
        <f>IF(Tabela3[[#This Row],[Descrição]]="","",VLOOKUP(Tabela3[[#This Row],[Descrição]],Tabela4[[Descrição]:[Tipo Receita/ Gasto]],2,FALSE))</f>
        <v/>
      </c>
      <c r="F499" s="122"/>
      <c r="G499" s="113" t="str">
        <f>IF(Tabela3[[#This Row],[Valor]]="","",G498+F499)</f>
        <v/>
      </c>
      <c r="H499" s="121"/>
      <c r="I499" s="120"/>
    </row>
    <row r="500" spans="1:9" x14ac:dyDescent="0.25">
      <c r="A500" s="4">
        <f>YEAR(Tabela3[[#This Row],[Data]])</f>
        <v>1900</v>
      </c>
      <c r="B500" s="121"/>
      <c r="C500" s="120"/>
      <c r="D500" s="120"/>
      <c r="E500" s="126" t="str">
        <f>IF(Tabela3[[#This Row],[Descrição]]="","",VLOOKUP(Tabela3[[#This Row],[Descrição]],Tabela4[[Descrição]:[Tipo Receita/ Gasto]],2,FALSE))</f>
        <v/>
      </c>
      <c r="F500" s="122"/>
      <c r="G500" s="113" t="str">
        <f>IF(Tabela3[[#This Row],[Valor]]="","",G499+F500)</f>
        <v/>
      </c>
      <c r="H500" s="121"/>
      <c r="I500" s="120"/>
    </row>
    <row r="501" spans="1:9" x14ac:dyDescent="0.25">
      <c r="A501" s="4">
        <f>YEAR(Tabela3[[#This Row],[Data]])</f>
        <v>1900</v>
      </c>
      <c r="B501" s="121"/>
      <c r="C501" s="120"/>
      <c r="D501" s="120"/>
      <c r="E501" s="126" t="str">
        <f>IF(Tabela3[[#This Row],[Descrição]]="","",VLOOKUP(Tabela3[[#This Row],[Descrição]],Tabela4[[Descrição]:[Tipo Receita/ Gasto]],2,FALSE))</f>
        <v/>
      </c>
      <c r="F501" s="122"/>
      <c r="G501" s="113" t="str">
        <f>IF(Tabela3[[#This Row],[Valor]]="","",G500+F501)</f>
        <v/>
      </c>
      <c r="H501" s="121"/>
      <c r="I501" s="120"/>
    </row>
    <row r="502" spans="1:9" x14ac:dyDescent="0.25">
      <c r="A502" s="4">
        <f>YEAR(Tabela3[[#This Row],[Data]])</f>
        <v>1900</v>
      </c>
      <c r="B502" s="121"/>
      <c r="C502" s="120"/>
      <c r="D502" s="120"/>
      <c r="E502" s="126" t="str">
        <f>IF(Tabela3[[#This Row],[Descrição]]="","",VLOOKUP(Tabela3[[#This Row],[Descrição]],Tabela4[[Descrição]:[Tipo Receita/ Gasto]],2,FALSE))</f>
        <v/>
      </c>
      <c r="F502" s="122"/>
      <c r="G502" s="113" t="str">
        <f>IF(Tabela3[[#This Row],[Valor]]="","",G501+F502)</f>
        <v/>
      </c>
      <c r="H502" s="121"/>
      <c r="I502" s="120"/>
    </row>
    <row r="503" spans="1:9" x14ac:dyDescent="0.25">
      <c r="A503" s="4">
        <f>YEAR(Tabela3[[#This Row],[Data]])</f>
        <v>1900</v>
      </c>
      <c r="B503" s="121"/>
      <c r="C503" s="120"/>
      <c r="D503" s="120"/>
      <c r="E503" s="126" t="str">
        <f>IF(Tabela3[[#This Row],[Descrição]]="","",VLOOKUP(Tabela3[[#This Row],[Descrição]],Tabela4[[Descrição]:[Tipo Receita/ Gasto]],2,FALSE))</f>
        <v/>
      </c>
      <c r="F503" s="122"/>
      <c r="G503" s="113" t="str">
        <f>IF(Tabela3[[#This Row],[Valor]]="","",G502+F503)</f>
        <v/>
      </c>
      <c r="H503" s="121"/>
      <c r="I503" s="120"/>
    </row>
    <row r="504" spans="1:9" x14ac:dyDescent="0.25">
      <c r="A504" s="4">
        <f>YEAR(Tabela3[[#This Row],[Data]])</f>
        <v>1900</v>
      </c>
      <c r="B504" s="121"/>
      <c r="C504" s="120"/>
      <c r="D504" s="120"/>
      <c r="E504" s="126" t="str">
        <f>IF(Tabela3[[#This Row],[Descrição]]="","",VLOOKUP(Tabela3[[#This Row],[Descrição]],Tabela4[[Descrição]:[Tipo Receita/ Gasto]],2,FALSE))</f>
        <v/>
      </c>
      <c r="F504" s="122"/>
      <c r="G504" s="113" t="str">
        <f>IF(Tabela3[[#This Row],[Valor]]="","",G503+F504)</f>
        <v/>
      </c>
      <c r="H504" s="121"/>
      <c r="I504" s="120"/>
    </row>
    <row r="505" spans="1:9" x14ac:dyDescent="0.25">
      <c r="A505" s="4">
        <f>YEAR(Tabela3[[#This Row],[Data]])</f>
        <v>1900</v>
      </c>
      <c r="B505" s="121"/>
      <c r="C505" s="120"/>
      <c r="D505" s="120"/>
      <c r="E505" s="126" t="str">
        <f>IF(Tabela3[[#This Row],[Descrição]]="","",VLOOKUP(Tabela3[[#This Row],[Descrição]],Tabela4[[Descrição]:[Tipo Receita/ Gasto]],2,FALSE))</f>
        <v/>
      </c>
      <c r="F505" s="122"/>
      <c r="G505" s="113" t="str">
        <f>IF(Tabela3[[#This Row],[Valor]]="","",G504+F505)</f>
        <v/>
      </c>
      <c r="H505" s="121"/>
      <c r="I505" s="120"/>
    </row>
    <row r="506" spans="1:9" x14ac:dyDescent="0.25">
      <c r="A506" s="4">
        <f>YEAR(Tabela3[[#This Row],[Data]])</f>
        <v>1900</v>
      </c>
      <c r="B506" s="121"/>
      <c r="C506" s="120"/>
      <c r="D506" s="120"/>
      <c r="E506" s="126" t="str">
        <f>IF(Tabela3[[#This Row],[Descrição]]="","",VLOOKUP(Tabela3[[#This Row],[Descrição]],Tabela4[[Descrição]:[Tipo Receita/ Gasto]],2,FALSE))</f>
        <v/>
      </c>
      <c r="F506" s="122"/>
      <c r="G506" s="113" t="str">
        <f>IF(Tabela3[[#This Row],[Valor]]="","",G505+F506)</f>
        <v/>
      </c>
      <c r="H506" s="121"/>
      <c r="I506" s="120"/>
    </row>
    <row r="507" spans="1:9" x14ac:dyDescent="0.25">
      <c r="A507" s="4">
        <f>YEAR(Tabela3[[#This Row],[Data]])</f>
        <v>1900</v>
      </c>
      <c r="B507" s="121"/>
      <c r="C507" s="120"/>
      <c r="D507" s="120"/>
      <c r="E507" s="126" t="str">
        <f>IF(Tabela3[[#This Row],[Descrição]]="","",VLOOKUP(Tabela3[[#This Row],[Descrição]],Tabela4[[Descrição]:[Tipo Receita/ Gasto]],2,FALSE))</f>
        <v/>
      </c>
      <c r="F507" s="122"/>
      <c r="G507" s="113" t="str">
        <f>IF(Tabela3[[#This Row],[Valor]]="","",G506+F507)</f>
        <v/>
      </c>
      <c r="H507" s="121"/>
      <c r="I507" s="120"/>
    </row>
    <row r="508" spans="1:9" x14ac:dyDescent="0.25">
      <c r="A508" s="4">
        <f>YEAR(Tabela3[[#This Row],[Data]])</f>
        <v>1900</v>
      </c>
      <c r="B508" s="121"/>
      <c r="C508" s="120"/>
      <c r="D508" s="120"/>
      <c r="E508" s="126" t="str">
        <f>IF(Tabela3[[#This Row],[Descrição]]="","",VLOOKUP(Tabela3[[#This Row],[Descrição]],Tabela4[[Descrição]:[Tipo Receita/ Gasto]],2,FALSE))</f>
        <v/>
      </c>
      <c r="F508" s="122"/>
      <c r="G508" s="113" t="str">
        <f>IF(Tabela3[[#This Row],[Valor]]="","",G507+F508)</f>
        <v/>
      </c>
      <c r="H508" s="121"/>
      <c r="I508" s="120"/>
    </row>
    <row r="509" spans="1:9" x14ac:dyDescent="0.25">
      <c r="A509" s="4">
        <f>YEAR(Tabela3[[#This Row],[Data]])</f>
        <v>1900</v>
      </c>
      <c r="B509" s="121"/>
      <c r="C509" s="120"/>
      <c r="D509" s="120"/>
      <c r="E509" s="126" t="str">
        <f>IF(Tabela3[[#This Row],[Descrição]]="","",VLOOKUP(Tabela3[[#This Row],[Descrição]],Tabela4[[Descrição]:[Tipo Receita/ Gasto]],2,FALSE))</f>
        <v/>
      </c>
      <c r="F509" s="122"/>
      <c r="G509" s="113" t="str">
        <f>IF(Tabela3[[#This Row],[Valor]]="","",G508+F509)</f>
        <v/>
      </c>
      <c r="H509" s="121"/>
      <c r="I509" s="120"/>
    </row>
    <row r="510" spans="1:9" x14ac:dyDescent="0.25">
      <c r="A510" s="4">
        <f>YEAR(Tabela3[[#This Row],[Data]])</f>
        <v>1900</v>
      </c>
      <c r="B510" s="121"/>
      <c r="C510" s="120"/>
      <c r="D510" s="120"/>
      <c r="E510" s="126" t="str">
        <f>IF(Tabela3[[#This Row],[Descrição]]="","",VLOOKUP(Tabela3[[#This Row],[Descrição]],Tabela4[[Descrição]:[Tipo Receita/ Gasto]],2,FALSE))</f>
        <v/>
      </c>
      <c r="F510" s="122"/>
      <c r="G510" s="113" t="str">
        <f>IF(Tabela3[[#This Row],[Valor]]="","",G509+F510)</f>
        <v/>
      </c>
      <c r="H510" s="121"/>
      <c r="I510" s="120"/>
    </row>
    <row r="511" spans="1:9" x14ac:dyDescent="0.25">
      <c r="A511" s="4">
        <f>YEAR(Tabela3[[#This Row],[Data]])</f>
        <v>1900</v>
      </c>
      <c r="B511" s="121"/>
      <c r="C511" s="120"/>
      <c r="D511" s="120"/>
      <c r="E511" s="126" t="str">
        <f>IF(Tabela3[[#This Row],[Descrição]]="","",VLOOKUP(Tabela3[[#This Row],[Descrição]],Tabela4[[Descrição]:[Tipo Receita/ Gasto]],2,FALSE))</f>
        <v/>
      </c>
      <c r="F511" s="122"/>
      <c r="G511" s="113" t="str">
        <f>IF(Tabela3[[#This Row],[Valor]]="","",G510+F511)</f>
        <v/>
      </c>
      <c r="H511" s="121"/>
      <c r="I511" s="120"/>
    </row>
    <row r="512" spans="1:9" x14ac:dyDescent="0.25">
      <c r="A512" s="4">
        <f>YEAR(Tabela3[[#This Row],[Data]])</f>
        <v>1900</v>
      </c>
      <c r="B512" s="121"/>
      <c r="C512" s="120"/>
      <c r="D512" s="120"/>
      <c r="E512" s="126" t="str">
        <f>IF(Tabela3[[#This Row],[Descrição]]="","",VLOOKUP(Tabela3[[#This Row],[Descrição]],Tabela4[[Descrição]:[Tipo Receita/ Gasto]],2,FALSE))</f>
        <v/>
      </c>
      <c r="F512" s="122"/>
      <c r="G512" s="113" t="str">
        <f>IF(Tabela3[[#This Row],[Valor]]="","",G511+F512)</f>
        <v/>
      </c>
      <c r="H512" s="121"/>
      <c r="I512" s="120"/>
    </row>
    <row r="513" spans="1:9" x14ac:dyDescent="0.25">
      <c r="A513" s="4">
        <f>YEAR(Tabela3[[#This Row],[Data]])</f>
        <v>1900</v>
      </c>
      <c r="B513" s="121"/>
      <c r="C513" s="120"/>
      <c r="D513" s="120"/>
      <c r="E513" s="126" t="str">
        <f>IF(Tabela3[[#This Row],[Descrição]]="","",VLOOKUP(Tabela3[[#This Row],[Descrição]],Tabela4[[Descrição]:[Tipo Receita/ Gasto]],2,FALSE))</f>
        <v/>
      </c>
      <c r="F513" s="122"/>
      <c r="G513" s="113" t="str">
        <f>IF(Tabela3[[#This Row],[Valor]]="","",G512+F513)</f>
        <v/>
      </c>
      <c r="H513" s="121"/>
      <c r="I513" s="120"/>
    </row>
    <row r="514" spans="1:9" x14ac:dyDescent="0.25">
      <c r="A514" s="4">
        <f>YEAR(Tabela3[[#This Row],[Data]])</f>
        <v>1900</v>
      </c>
      <c r="B514" s="121"/>
      <c r="C514" s="120"/>
      <c r="D514" s="120"/>
      <c r="E514" s="126" t="str">
        <f>IF(Tabela3[[#This Row],[Descrição]]="","",VLOOKUP(Tabela3[[#This Row],[Descrição]],Tabela4[[Descrição]:[Tipo Receita/ Gasto]],2,FALSE))</f>
        <v/>
      </c>
      <c r="F514" s="122"/>
      <c r="G514" s="113" t="str">
        <f>IF(Tabela3[[#This Row],[Valor]]="","",G513+F514)</f>
        <v/>
      </c>
      <c r="H514" s="121"/>
      <c r="I514" s="120"/>
    </row>
    <row r="515" spans="1:9" x14ac:dyDescent="0.25">
      <c r="A515" s="4">
        <f>YEAR(Tabela3[[#This Row],[Data]])</f>
        <v>1900</v>
      </c>
      <c r="B515" s="121"/>
      <c r="C515" s="120"/>
      <c r="D515" s="120"/>
      <c r="E515" s="126" t="str">
        <f>IF(Tabela3[[#This Row],[Descrição]]="","",VLOOKUP(Tabela3[[#This Row],[Descrição]],Tabela4[[Descrição]:[Tipo Receita/ Gasto]],2,FALSE))</f>
        <v/>
      </c>
      <c r="F515" s="122"/>
      <c r="G515" s="113" t="str">
        <f>IF(Tabela3[[#This Row],[Valor]]="","",G514+F515)</f>
        <v/>
      </c>
      <c r="H515" s="121"/>
      <c r="I515" s="120"/>
    </row>
    <row r="516" spans="1:9" x14ac:dyDescent="0.25">
      <c r="A516" s="4">
        <f>YEAR(Tabela3[[#This Row],[Data]])</f>
        <v>1900</v>
      </c>
      <c r="B516" s="121"/>
      <c r="C516" s="120"/>
      <c r="D516" s="120"/>
      <c r="E516" s="126" t="str">
        <f>IF(Tabela3[[#This Row],[Descrição]]="","",VLOOKUP(Tabela3[[#This Row],[Descrição]],Tabela4[[Descrição]:[Tipo Receita/ Gasto]],2,FALSE))</f>
        <v/>
      </c>
      <c r="F516" s="122"/>
      <c r="G516" s="113" t="str">
        <f>IF(Tabela3[[#This Row],[Valor]]="","",G515+F516)</f>
        <v/>
      </c>
      <c r="H516" s="121"/>
      <c r="I516" s="120"/>
    </row>
    <row r="517" spans="1:9" x14ac:dyDescent="0.25">
      <c r="A517" s="4">
        <f>YEAR(Tabela3[[#This Row],[Data]])</f>
        <v>1900</v>
      </c>
      <c r="B517" s="121"/>
      <c r="C517" s="120"/>
      <c r="D517" s="120"/>
      <c r="E517" s="126" t="str">
        <f>IF(Tabela3[[#This Row],[Descrição]]="","",VLOOKUP(Tabela3[[#This Row],[Descrição]],Tabela4[[Descrição]:[Tipo Receita/ Gasto]],2,FALSE))</f>
        <v/>
      </c>
      <c r="F517" s="122"/>
      <c r="G517" s="113" t="str">
        <f>IF(Tabela3[[#This Row],[Valor]]="","",G516+F517)</f>
        <v/>
      </c>
      <c r="H517" s="121"/>
      <c r="I517" s="120"/>
    </row>
    <row r="518" spans="1:9" x14ac:dyDescent="0.25">
      <c r="A518" s="4">
        <f>YEAR(Tabela3[[#This Row],[Data]])</f>
        <v>1900</v>
      </c>
      <c r="B518" s="121"/>
      <c r="C518" s="120"/>
      <c r="D518" s="120"/>
      <c r="E518" s="126" t="str">
        <f>IF(Tabela3[[#This Row],[Descrição]]="","",VLOOKUP(Tabela3[[#This Row],[Descrição]],Tabela4[[Descrição]:[Tipo Receita/ Gasto]],2,FALSE))</f>
        <v/>
      </c>
      <c r="F518" s="122"/>
      <c r="G518" s="113" t="str">
        <f>IF(Tabela3[[#This Row],[Valor]]="","",G517+F518)</f>
        <v/>
      </c>
      <c r="H518" s="121"/>
      <c r="I518" s="120"/>
    </row>
    <row r="519" spans="1:9" x14ac:dyDescent="0.25">
      <c r="A519" s="4">
        <f>YEAR(Tabela3[[#This Row],[Data]])</f>
        <v>1900</v>
      </c>
      <c r="B519" s="121"/>
      <c r="C519" s="120"/>
      <c r="D519" s="120"/>
      <c r="E519" s="126" t="str">
        <f>IF(Tabela3[[#This Row],[Descrição]]="","",VLOOKUP(Tabela3[[#This Row],[Descrição]],Tabela4[[Descrição]:[Tipo Receita/ Gasto]],2,FALSE))</f>
        <v/>
      </c>
      <c r="F519" s="122"/>
      <c r="G519" s="113" t="str">
        <f>IF(Tabela3[[#This Row],[Valor]]="","",G518+F519)</f>
        <v/>
      </c>
      <c r="H519" s="121"/>
      <c r="I519" s="120"/>
    </row>
    <row r="520" spans="1:9" x14ac:dyDescent="0.25">
      <c r="A520" s="4">
        <f>YEAR(Tabela3[[#This Row],[Data]])</f>
        <v>1900</v>
      </c>
      <c r="B520" s="121"/>
      <c r="C520" s="120"/>
      <c r="D520" s="120"/>
      <c r="E520" s="126" t="str">
        <f>IF(Tabela3[[#This Row],[Descrição]]="","",VLOOKUP(Tabela3[[#This Row],[Descrição]],Tabela4[[Descrição]:[Tipo Receita/ Gasto]],2,FALSE))</f>
        <v/>
      </c>
      <c r="F520" s="122"/>
      <c r="G520" s="113" t="str">
        <f>IF(Tabela3[[#This Row],[Valor]]="","",G519+F520)</f>
        <v/>
      </c>
      <c r="H520" s="121"/>
      <c r="I520" s="120"/>
    </row>
    <row r="521" spans="1:9" x14ac:dyDescent="0.25">
      <c r="A521" s="4">
        <f>YEAR(Tabela3[[#This Row],[Data]])</f>
        <v>1900</v>
      </c>
      <c r="B521" s="121"/>
      <c r="C521" s="120"/>
      <c r="D521" s="120"/>
      <c r="E521" s="126" t="str">
        <f>IF(Tabela3[[#This Row],[Descrição]]="","",VLOOKUP(Tabela3[[#This Row],[Descrição]],Tabela4[[Descrição]:[Tipo Receita/ Gasto]],2,FALSE))</f>
        <v/>
      </c>
      <c r="F521" s="122"/>
      <c r="G521" s="113" t="str">
        <f>IF(Tabela3[[#This Row],[Valor]]="","",G520+F521)</f>
        <v/>
      </c>
      <c r="H521" s="121"/>
      <c r="I521" s="120"/>
    </row>
    <row r="522" spans="1:9" x14ac:dyDescent="0.25">
      <c r="A522" s="4">
        <f>YEAR(Tabela3[[#This Row],[Data]])</f>
        <v>1900</v>
      </c>
      <c r="B522" s="121"/>
      <c r="C522" s="120"/>
      <c r="D522" s="120"/>
      <c r="E522" s="126" t="str">
        <f>IF(Tabela3[[#This Row],[Descrição]]="","",VLOOKUP(Tabela3[[#This Row],[Descrição]],Tabela4[[Descrição]:[Tipo Receita/ Gasto]],2,FALSE))</f>
        <v/>
      </c>
      <c r="F522" s="122"/>
      <c r="G522" s="113" t="str">
        <f>IF(Tabela3[[#This Row],[Valor]]="","",G521+F522)</f>
        <v/>
      </c>
      <c r="H522" s="121"/>
      <c r="I522" s="120"/>
    </row>
    <row r="523" spans="1:9" x14ac:dyDescent="0.25">
      <c r="A523" s="4">
        <f>YEAR(Tabela3[[#This Row],[Data]])</f>
        <v>1900</v>
      </c>
      <c r="B523" s="121"/>
      <c r="C523" s="120"/>
      <c r="D523" s="120"/>
      <c r="E523" s="126" t="str">
        <f>IF(Tabela3[[#This Row],[Descrição]]="","",VLOOKUP(Tabela3[[#This Row],[Descrição]],Tabela4[[Descrição]:[Tipo Receita/ Gasto]],2,FALSE))</f>
        <v/>
      </c>
      <c r="F523" s="122"/>
      <c r="G523" s="113" t="str">
        <f>IF(Tabela3[[#This Row],[Valor]]="","",G522+F523)</f>
        <v/>
      </c>
      <c r="H523" s="121"/>
      <c r="I523" s="120"/>
    </row>
    <row r="524" spans="1:9" x14ac:dyDescent="0.25">
      <c r="A524" s="4">
        <f>YEAR(Tabela3[[#This Row],[Data]])</f>
        <v>1900</v>
      </c>
      <c r="B524" s="121"/>
      <c r="C524" s="120"/>
      <c r="D524" s="120"/>
      <c r="E524" s="126" t="str">
        <f>IF(Tabela3[[#This Row],[Descrição]]="","",VLOOKUP(Tabela3[[#This Row],[Descrição]],Tabela4[[Descrição]:[Tipo Receita/ Gasto]],2,FALSE))</f>
        <v/>
      </c>
      <c r="F524" s="122"/>
      <c r="G524" s="113" t="str">
        <f>IF(Tabela3[[#This Row],[Valor]]="","",G523+F524)</f>
        <v/>
      </c>
      <c r="H524" s="121"/>
      <c r="I524" s="120"/>
    </row>
    <row r="525" spans="1:9" x14ac:dyDescent="0.25">
      <c r="A525" s="4">
        <f>YEAR(Tabela3[[#This Row],[Data]])</f>
        <v>1900</v>
      </c>
      <c r="B525" s="121"/>
      <c r="C525" s="120"/>
      <c r="D525" s="120"/>
      <c r="E525" s="126" t="str">
        <f>IF(Tabela3[[#This Row],[Descrição]]="","",VLOOKUP(Tabela3[[#This Row],[Descrição]],Tabela4[[Descrição]:[Tipo Receita/ Gasto]],2,FALSE))</f>
        <v/>
      </c>
      <c r="F525" s="122"/>
      <c r="G525" s="113" t="str">
        <f>IF(Tabela3[[#This Row],[Valor]]="","",G524+F525)</f>
        <v/>
      </c>
      <c r="H525" s="121"/>
      <c r="I525" s="120"/>
    </row>
    <row r="526" spans="1:9" x14ac:dyDescent="0.25">
      <c r="A526" s="4">
        <f>YEAR(Tabela3[[#This Row],[Data]])</f>
        <v>1900</v>
      </c>
      <c r="B526" s="121"/>
      <c r="C526" s="120"/>
      <c r="D526" s="120"/>
      <c r="E526" s="126" t="str">
        <f>IF(Tabela3[[#This Row],[Descrição]]="","",VLOOKUP(Tabela3[[#This Row],[Descrição]],Tabela4[[Descrição]:[Tipo Receita/ Gasto]],2,FALSE))</f>
        <v/>
      </c>
      <c r="F526" s="122"/>
      <c r="G526" s="113" t="str">
        <f>IF(Tabela3[[#This Row],[Valor]]="","",G525+F526)</f>
        <v/>
      </c>
      <c r="H526" s="121"/>
      <c r="I526" s="120"/>
    </row>
    <row r="527" spans="1:9" x14ac:dyDescent="0.25">
      <c r="A527" s="4">
        <f>YEAR(Tabela3[[#This Row],[Data]])</f>
        <v>1900</v>
      </c>
      <c r="B527" s="121"/>
      <c r="C527" s="120"/>
      <c r="D527" s="120"/>
      <c r="E527" s="126" t="str">
        <f>IF(Tabela3[[#This Row],[Descrição]]="","",VLOOKUP(Tabela3[[#This Row],[Descrição]],Tabela4[[Descrição]:[Tipo Receita/ Gasto]],2,FALSE))</f>
        <v/>
      </c>
      <c r="F527" s="122"/>
      <c r="G527" s="113" t="str">
        <f>IF(Tabela3[[#This Row],[Valor]]="","",G526+F527)</f>
        <v/>
      </c>
      <c r="H527" s="121"/>
      <c r="I527" s="120"/>
    </row>
    <row r="528" spans="1:9" x14ac:dyDescent="0.25">
      <c r="A528" s="4">
        <f>YEAR(Tabela3[[#This Row],[Data]])</f>
        <v>1900</v>
      </c>
      <c r="B528" s="121"/>
      <c r="C528" s="120"/>
      <c r="D528" s="120"/>
      <c r="E528" s="126" t="str">
        <f>IF(Tabela3[[#This Row],[Descrição]]="","",VLOOKUP(Tabela3[[#This Row],[Descrição]],Tabela4[[Descrição]:[Tipo Receita/ Gasto]],2,FALSE))</f>
        <v/>
      </c>
      <c r="F528" s="122"/>
      <c r="G528" s="113" t="str">
        <f>IF(Tabela3[[#This Row],[Valor]]="","",G527+F528)</f>
        <v/>
      </c>
      <c r="H528" s="121"/>
      <c r="I528" s="120"/>
    </row>
    <row r="529" spans="1:9" x14ac:dyDescent="0.25">
      <c r="A529" s="4">
        <f>YEAR(Tabela3[[#This Row],[Data]])</f>
        <v>1900</v>
      </c>
      <c r="B529" s="121"/>
      <c r="C529" s="120"/>
      <c r="D529" s="120"/>
      <c r="E529" s="126" t="str">
        <f>IF(Tabela3[[#This Row],[Descrição]]="","",VLOOKUP(Tabela3[[#This Row],[Descrição]],Tabela4[[Descrição]:[Tipo Receita/ Gasto]],2,FALSE))</f>
        <v/>
      </c>
      <c r="F529" s="122"/>
      <c r="G529" s="113" t="str">
        <f>IF(Tabela3[[#This Row],[Valor]]="","",G528+F529)</f>
        <v/>
      </c>
      <c r="H529" s="121"/>
      <c r="I529" s="120"/>
    </row>
    <row r="530" spans="1:9" x14ac:dyDescent="0.25">
      <c r="A530" s="4">
        <f>YEAR(Tabela3[[#This Row],[Data]])</f>
        <v>1900</v>
      </c>
      <c r="B530" s="121"/>
      <c r="C530" s="120"/>
      <c r="D530" s="120"/>
      <c r="E530" s="126" t="str">
        <f>IF(Tabela3[[#This Row],[Descrição]]="","",VLOOKUP(Tabela3[[#This Row],[Descrição]],Tabela4[[Descrição]:[Tipo Receita/ Gasto]],2,FALSE))</f>
        <v/>
      </c>
      <c r="F530" s="122"/>
      <c r="G530" s="113" t="str">
        <f>IF(Tabela3[[#This Row],[Valor]]="","",G529+F530)</f>
        <v/>
      </c>
      <c r="H530" s="121"/>
      <c r="I530" s="120"/>
    </row>
    <row r="531" spans="1:9" x14ac:dyDescent="0.25">
      <c r="A531" s="4">
        <f>YEAR(Tabela3[[#This Row],[Data]])</f>
        <v>1900</v>
      </c>
      <c r="B531" s="121"/>
      <c r="C531" s="120"/>
      <c r="D531" s="120"/>
      <c r="E531" s="126" t="str">
        <f>IF(Tabela3[[#This Row],[Descrição]]="","",VLOOKUP(Tabela3[[#This Row],[Descrição]],Tabela4[[Descrição]:[Tipo Receita/ Gasto]],2,FALSE))</f>
        <v/>
      </c>
      <c r="F531" s="122"/>
      <c r="G531" s="113" t="str">
        <f>IF(Tabela3[[#This Row],[Valor]]="","",G530+F531)</f>
        <v/>
      </c>
      <c r="H531" s="121"/>
      <c r="I531" s="120"/>
    </row>
    <row r="532" spans="1:9" x14ac:dyDescent="0.25">
      <c r="A532" s="4">
        <f>YEAR(Tabela3[[#This Row],[Data]])</f>
        <v>1900</v>
      </c>
      <c r="B532" s="121"/>
      <c r="C532" s="120"/>
      <c r="D532" s="120"/>
      <c r="E532" s="126" t="str">
        <f>IF(Tabela3[[#This Row],[Descrição]]="","",VLOOKUP(Tabela3[[#This Row],[Descrição]],Tabela4[[Descrição]:[Tipo Receita/ Gasto]],2,FALSE))</f>
        <v/>
      </c>
      <c r="F532" s="122"/>
      <c r="G532" s="113" t="str">
        <f>IF(Tabela3[[#This Row],[Valor]]="","",G531+F532)</f>
        <v/>
      </c>
      <c r="H532" s="121"/>
      <c r="I532" s="120"/>
    </row>
    <row r="533" spans="1:9" x14ac:dyDescent="0.25">
      <c r="A533" s="4">
        <f>YEAR(Tabela3[[#This Row],[Data]])</f>
        <v>1900</v>
      </c>
      <c r="B533" s="121"/>
      <c r="C533" s="120"/>
      <c r="D533" s="120"/>
      <c r="E533" s="126" t="str">
        <f>IF(Tabela3[[#This Row],[Descrição]]="","",VLOOKUP(Tabela3[[#This Row],[Descrição]],Tabela4[[Descrição]:[Tipo Receita/ Gasto]],2,FALSE))</f>
        <v/>
      </c>
      <c r="F533" s="122"/>
      <c r="G533" s="113" t="str">
        <f>IF(Tabela3[[#This Row],[Valor]]="","",G532+F533)</f>
        <v/>
      </c>
      <c r="H533" s="121"/>
      <c r="I533" s="120"/>
    </row>
    <row r="534" spans="1:9" x14ac:dyDescent="0.25">
      <c r="A534" s="4">
        <f>YEAR(Tabela3[[#This Row],[Data]])</f>
        <v>1900</v>
      </c>
      <c r="B534" s="121"/>
      <c r="C534" s="120"/>
      <c r="D534" s="120"/>
      <c r="E534" s="126" t="str">
        <f>IF(Tabela3[[#This Row],[Descrição]]="","",VLOOKUP(Tabela3[[#This Row],[Descrição]],Tabela4[[Descrição]:[Tipo Receita/ Gasto]],2,FALSE))</f>
        <v/>
      </c>
      <c r="F534" s="122"/>
      <c r="G534" s="113" t="str">
        <f>IF(Tabela3[[#This Row],[Valor]]="","",G533+F534)</f>
        <v/>
      </c>
      <c r="H534" s="121"/>
      <c r="I534" s="120"/>
    </row>
    <row r="535" spans="1:9" x14ac:dyDescent="0.25">
      <c r="A535" s="4">
        <f>YEAR(Tabela3[[#This Row],[Data]])</f>
        <v>1900</v>
      </c>
      <c r="B535" s="121"/>
      <c r="C535" s="120"/>
      <c r="D535" s="120"/>
      <c r="E535" s="126" t="str">
        <f>IF(Tabela3[[#This Row],[Descrição]]="","",VLOOKUP(Tabela3[[#This Row],[Descrição]],Tabela4[[Descrição]:[Tipo Receita/ Gasto]],2,FALSE))</f>
        <v/>
      </c>
      <c r="F535" s="122"/>
      <c r="G535" s="113" t="str">
        <f>IF(Tabela3[[#This Row],[Valor]]="","",G534+F535)</f>
        <v/>
      </c>
      <c r="H535" s="121"/>
      <c r="I535" s="120"/>
    </row>
    <row r="536" spans="1:9" x14ac:dyDescent="0.25">
      <c r="A536" s="4">
        <f>YEAR(Tabela3[[#This Row],[Data]])</f>
        <v>1900</v>
      </c>
      <c r="B536" s="121"/>
      <c r="C536" s="120"/>
      <c r="D536" s="120"/>
      <c r="E536" s="126" t="str">
        <f>IF(Tabela3[[#This Row],[Descrição]]="","",VLOOKUP(Tabela3[[#This Row],[Descrição]],Tabela4[[Descrição]:[Tipo Receita/ Gasto]],2,FALSE))</f>
        <v/>
      </c>
      <c r="F536" s="122"/>
      <c r="G536" s="113" t="str">
        <f>IF(Tabela3[[#This Row],[Valor]]="","",G535+F536)</f>
        <v/>
      </c>
      <c r="H536" s="121"/>
      <c r="I536" s="120"/>
    </row>
    <row r="537" spans="1:9" x14ac:dyDescent="0.25">
      <c r="A537" s="4">
        <f>YEAR(Tabela3[[#This Row],[Data]])</f>
        <v>1900</v>
      </c>
      <c r="B537" s="121"/>
      <c r="C537" s="120"/>
      <c r="D537" s="120"/>
      <c r="E537" s="126" t="str">
        <f>IF(Tabela3[[#This Row],[Descrição]]="","",VLOOKUP(Tabela3[[#This Row],[Descrição]],Tabela4[[Descrição]:[Tipo Receita/ Gasto]],2,FALSE))</f>
        <v/>
      </c>
      <c r="F537" s="122"/>
      <c r="G537" s="113" t="str">
        <f>IF(Tabela3[[#This Row],[Valor]]="","",G536+F537)</f>
        <v/>
      </c>
      <c r="H537" s="121"/>
      <c r="I537" s="120"/>
    </row>
    <row r="538" spans="1:9" x14ac:dyDescent="0.25">
      <c r="A538" s="4">
        <f>YEAR(Tabela3[[#This Row],[Data]])</f>
        <v>1900</v>
      </c>
      <c r="B538" s="121"/>
      <c r="C538" s="120"/>
      <c r="D538" s="120"/>
      <c r="E538" s="126" t="str">
        <f>IF(Tabela3[[#This Row],[Descrição]]="","",VLOOKUP(Tabela3[[#This Row],[Descrição]],Tabela4[[Descrição]:[Tipo Receita/ Gasto]],2,FALSE))</f>
        <v/>
      </c>
      <c r="F538" s="122"/>
      <c r="G538" s="113" t="str">
        <f>IF(Tabela3[[#This Row],[Valor]]="","",G537+F538)</f>
        <v/>
      </c>
      <c r="H538" s="121"/>
      <c r="I538" s="120"/>
    </row>
    <row r="539" spans="1:9" x14ac:dyDescent="0.25">
      <c r="A539" s="4">
        <f>YEAR(Tabela3[[#This Row],[Data]])</f>
        <v>1900</v>
      </c>
      <c r="B539" s="121"/>
      <c r="C539" s="120"/>
      <c r="D539" s="120"/>
      <c r="E539" s="126" t="str">
        <f>IF(Tabela3[[#This Row],[Descrição]]="","",VLOOKUP(Tabela3[[#This Row],[Descrição]],Tabela4[[Descrição]:[Tipo Receita/ Gasto]],2,FALSE))</f>
        <v/>
      </c>
      <c r="F539" s="122"/>
      <c r="G539" s="113" t="str">
        <f>IF(Tabela3[[#This Row],[Valor]]="","",G538+F539)</f>
        <v/>
      </c>
      <c r="H539" s="121"/>
      <c r="I539" s="120"/>
    </row>
    <row r="540" spans="1:9" x14ac:dyDescent="0.25">
      <c r="A540" s="4">
        <f>YEAR(Tabela3[[#This Row],[Data]])</f>
        <v>1900</v>
      </c>
      <c r="B540" s="121"/>
      <c r="C540" s="120"/>
      <c r="D540" s="120"/>
      <c r="E540" s="126" t="str">
        <f>IF(Tabela3[[#This Row],[Descrição]]="","",VLOOKUP(Tabela3[[#This Row],[Descrição]],Tabela4[[Descrição]:[Tipo Receita/ Gasto]],2,FALSE))</f>
        <v/>
      </c>
      <c r="F540" s="122"/>
      <c r="G540" s="113" t="str">
        <f>IF(Tabela3[[#This Row],[Valor]]="","",G539+F540)</f>
        <v/>
      </c>
      <c r="H540" s="121"/>
      <c r="I540" s="120"/>
    </row>
    <row r="541" spans="1:9" x14ac:dyDescent="0.25">
      <c r="A541" s="4">
        <f>YEAR(Tabela3[[#This Row],[Data]])</f>
        <v>1900</v>
      </c>
      <c r="B541" s="121"/>
      <c r="C541" s="120"/>
      <c r="D541" s="120"/>
      <c r="E541" s="126" t="str">
        <f>IF(Tabela3[[#This Row],[Descrição]]="","",VLOOKUP(Tabela3[[#This Row],[Descrição]],Tabela4[[Descrição]:[Tipo Receita/ Gasto]],2,FALSE))</f>
        <v/>
      </c>
      <c r="F541" s="122"/>
      <c r="G541" s="113" t="str">
        <f>IF(Tabela3[[#This Row],[Valor]]="","",G540+F541)</f>
        <v/>
      </c>
      <c r="H541" s="121"/>
      <c r="I541" s="120"/>
    </row>
    <row r="542" spans="1:9" x14ac:dyDescent="0.25">
      <c r="A542" s="4">
        <f>YEAR(Tabela3[[#This Row],[Data]])</f>
        <v>1900</v>
      </c>
      <c r="B542" s="121"/>
      <c r="C542" s="120"/>
      <c r="D542" s="120"/>
      <c r="E542" s="126" t="str">
        <f>IF(Tabela3[[#This Row],[Descrição]]="","",VLOOKUP(Tabela3[[#This Row],[Descrição]],Tabela4[[Descrição]:[Tipo Receita/ Gasto]],2,FALSE))</f>
        <v/>
      </c>
      <c r="F542" s="122"/>
      <c r="G542" s="113" t="str">
        <f>IF(Tabela3[[#This Row],[Valor]]="","",G541+F542)</f>
        <v/>
      </c>
      <c r="H542" s="121"/>
      <c r="I542" s="120"/>
    </row>
    <row r="543" spans="1:9" x14ac:dyDescent="0.25">
      <c r="A543" s="4">
        <f>YEAR(Tabela3[[#This Row],[Data]])</f>
        <v>1900</v>
      </c>
      <c r="B543" s="121"/>
      <c r="C543" s="120"/>
      <c r="D543" s="120"/>
      <c r="E543" s="126" t="str">
        <f>IF(Tabela3[[#This Row],[Descrição]]="","",VLOOKUP(Tabela3[[#This Row],[Descrição]],Tabela4[[Descrição]:[Tipo Receita/ Gasto]],2,FALSE))</f>
        <v/>
      </c>
      <c r="F543" s="122"/>
      <c r="G543" s="113" t="str">
        <f>IF(Tabela3[[#This Row],[Valor]]="","",G542+F543)</f>
        <v/>
      </c>
      <c r="H543" s="121"/>
      <c r="I543" s="120"/>
    </row>
    <row r="544" spans="1:9" x14ac:dyDescent="0.25">
      <c r="A544" s="4">
        <f>YEAR(Tabela3[[#This Row],[Data]])</f>
        <v>1900</v>
      </c>
      <c r="B544" s="121"/>
      <c r="C544" s="120"/>
      <c r="D544" s="120"/>
      <c r="E544" s="126" t="str">
        <f>IF(Tabela3[[#This Row],[Descrição]]="","",VLOOKUP(Tabela3[[#This Row],[Descrição]],Tabela4[[Descrição]:[Tipo Receita/ Gasto]],2,FALSE))</f>
        <v/>
      </c>
      <c r="F544" s="122"/>
      <c r="G544" s="113" t="str">
        <f>IF(Tabela3[[#This Row],[Valor]]="","",G543+F544)</f>
        <v/>
      </c>
      <c r="H544" s="121"/>
      <c r="I544" s="120"/>
    </row>
    <row r="545" spans="1:9" x14ac:dyDescent="0.25">
      <c r="A545" s="4">
        <f>YEAR(Tabela3[[#This Row],[Data]])</f>
        <v>1900</v>
      </c>
      <c r="B545" s="121"/>
      <c r="C545" s="120"/>
      <c r="D545" s="120"/>
      <c r="E545" s="126" t="str">
        <f>IF(Tabela3[[#This Row],[Descrição]]="","",VLOOKUP(Tabela3[[#This Row],[Descrição]],Tabela4[[Descrição]:[Tipo Receita/ Gasto]],2,FALSE))</f>
        <v/>
      </c>
      <c r="F545" s="122"/>
      <c r="G545" s="113" t="str">
        <f>IF(Tabela3[[#This Row],[Valor]]="","",G544+F545)</f>
        <v/>
      </c>
      <c r="H545" s="121"/>
      <c r="I545" s="120"/>
    </row>
    <row r="546" spans="1:9" x14ac:dyDescent="0.25">
      <c r="A546" s="4">
        <f>YEAR(Tabela3[[#This Row],[Data]])</f>
        <v>1900</v>
      </c>
      <c r="B546" s="121"/>
      <c r="C546" s="120"/>
      <c r="D546" s="120"/>
      <c r="E546" s="126" t="str">
        <f>IF(Tabela3[[#This Row],[Descrição]]="","",VLOOKUP(Tabela3[[#This Row],[Descrição]],Tabela4[[Descrição]:[Tipo Receita/ Gasto]],2,FALSE))</f>
        <v/>
      </c>
      <c r="F546" s="122"/>
      <c r="G546" s="113" t="str">
        <f>IF(Tabela3[[#This Row],[Valor]]="","",G545+F546)</f>
        <v/>
      </c>
      <c r="H546" s="121"/>
      <c r="I546" s="120"/>
    </row>
    <row r="547" spans="1:9" x14ac:dyDescent="0.25">
      <c r="A547" s="4">
        <f>YEAR(Tabela3[[#This Row],[Data]])</f>
        <v>1900</v>
      </c>
      <c r="B547" s="121"/>
      <c r="C547" s="120"/>
      <c r="D547" s="120"/>
      <c r="E547" s="126" t="str">
        <f>IF(Tabela3[[#This Row],[Descrição]]="","",VLOOKUP(Tabela3[[#This Row],[Descrição]],Tabela4[[Descrição]:[Tipo Receita/ Gasto]],2,FALSE))</f>
        <v/>
      </c>
      <c r="F547" s="122"/>
      <c r="G547" s="113" t="str">
        <f>IF(Tabela3[[#This Row],[Valor]]="","",G546+F547)</f>
        <v/>
      </c>
      <c r="H547" s="121"/>
      <c r="I547" s="120"/>
    </row>
    <row r="548" spans="1:9" x14ac:dyDescent="0.25">
      <c r="A548" s="4">
        <f>YEAR(Tabela3[[#This Row],[Data]])</f>
        <v>1900</v>
      </c>
      <c r="B548" s="121"/>
      <c r="C548" s="120"/>
      <c r="D548" s="120"/>
      <c r="E548" s="126" t="str">
        <f>IF(Tabela3[[#This Row],[Descrição]]="","",VLOOKUP(Tabela3[[#This Row],[Descrição]],Tabela4[[Descrição]:[Tipo Receita/ Gasto]],2,FALSE))</f>
        <v/>
      </c>
      <c r="F548" s="122"/>
      <c r="G548" s="113" t="str">
        <f>IF(Tabela3[[#This Row],[Valor]]="","",G547+F548)</f>
        <v/>
      </c>
      <c r="H548" s="121"/>
      <c r="I548" s="120"/>
    </row>
    <row r="549" spans="1:9" x14ac:dyDescent="0.25">
      <c r="A549" s="4">
        <f>YEAR(Tabela3[[#This Row],[Data]])</f>
        <v>1900</v>
      </c>
      <c r="B549" s="121"/>
      <c r="C549" s="120"/>
      <c r="D549" s="120"/>
      <c r="E549" s="126" t="str">
        <f>IF(Tabela3[[#This Row],[Descrição]]="","",VLOOKUP(Tabela3[[#This Row],[Descrição]],Tabela4[[Descrição]:[Tipo Receita/ Gasto]],2,FALSE))</f>
        <v/>
      </c>
      <c r="F549" s="122"/>
      <c r="G549" s="113" t="str">
        <f>IF(Tabela3[[#This Row],[Valor]]="","",G548+F549)</f>
        <v/>
      </c>
      <c r="H549" s="121"/>
      <c r="I549" s="120"/>
    </row>
    <row r="550" spans="1:9" x14ac:dyDescent="0.25">
      <c r="A550" s="4">
        <f>YEAR(Tabela3[[#This Row],[Data]])</f>
        <v>1900</v>
      </c>
      <c r="B550" s="121"/>
      <c r="C550" s="120"/>
      <c r="D550" s="120"/>
      <c r="E550" s="126" t="str">
        <f>IF(Tabela3[[#This Row],[Descrição]]="","",VLOOKUP(Tabela3[[#This Row],[Descrição]],Tabela4[[Descrição]:[Tipo Receita/ Gasto]],2,FALSE))</f>
        <v/>
      </c>
      <c r="F550" s="122"/>
      <c r="G550" s="113" t="str">
        <f>IF(Tabela3[[#This Row],[Valor]]="","",G549+F550)</f>
        <v/>
      </c>
      <c r="H550" s="121"/>
      <c r="I550" s="120"/>
    </row>
    <row r="551" spans="1:9" x14ac:dyDescent="0.25">
      <c r="A551" s="4">
        <f>YEAR(Tabela3[[#This Row],[Data]])</f>
        <v>1900</v>
      </c>
      <c r="B551" s="121"/>
      <c r="C551" s="120"/>
      <c r="D551" s="120"/>
      <c r="E551" s="126" t="str">
        <f>IF(Tabela3[[#This Row],[Descrição]]="","",VLOOKUP(Tabela3[[#This Row],[Descrição]],Tabela4[[Descrição]:[Tipo Receita/ Gasto]],2,FALSE))</f>
        <v/>
      </c>
      <c r="F551" s="122"/>
      <c r="G551" s="113" t="str">
        <f>IF(Tabela3[[#This Row],[Valor]]="","",G550+F551)</f>
        <v/>
      </c>
      <c r="H551" s="121"/>
      <c r="I551" s="120"/>
    </row>
    <row r="552" spans="1:9" x14ac:dyDescent="0.25">
      <c r="A552" s="4">
        <f>YEAR(Tabela3[[#This Row],[Data]])</f>
        <v>1900</v>
      </c>
      <c r="B552" s="121"/>
      <c r="C552" s="120"/>
      <c r="D552" s="120"/>
      <c r="E552" s="126" t="str">
        <f>IF(Tabela3[[#This Row],[Descrição]]="","",VLOOKUP(Tabela3[[#This Row],[Descrição]],Tabela4[[Descrição]:[Tipo Receita/ Gasto]],2,FALSE))</f>
        <v/>
      </c>
      <c r="F552" s="122"/>
      <c r="G552" s="113" t="str">
        <f>IF(Tabela3[[#This Row],[Valor]]="","",G551+F552)</f>
        <v/>
      </c>
      <c r="H552" s="121"/>
      <c r="I552" s="120"/>
    </row>
    <row r="553" spans="1:9" x14ac:dyDescent="0.25">
      <c r="A553" s="4">
        <f>YEAR(Tabela3[[#This Row],[Data]])</f>
        <v>1900</v>
      </c>
      <c r="B553" s="121"/>
      <c r="C553" s="120"/>
      <c r="D553" s="120"/>
      <c r="E553" s="126" t="str">
        <f>IF(Tabela3[[#This Row],[Descrição]]="","",VLOOKUP(Tabela3[[#This Row],[Descrição]],Tabela4[[Descrição]:[Tipo Receita/ Gasto]],2,FALSE))</f>
        <v/>
      </c>
      <c r="F553" s="122"/>
      <c r="G553" s="113" t="str">
        <f>IF(Tabela3[[#This Row],[Valor]]="","",G552+F553)</f>
        <v/>
      </c>
      <c r="H553" s="121"/>
      <c r="I553" s="120"/>
    </row>
    <row r="554" spans="1:9" x14ac:dyDescent="0.25">
      <c r="A554" s="4">
        <f>YEAR(Tabela3[[#This Row],[Data]])</f>
        <v>1900</v>
      </c>
      <c r="B554" s="121"/>
      <c r="C554" s="120"/>
      <c r="D554" s="120"/>
      <c r="E554" s="126" t="str">
        <f>IF(Tabela3[[#This Row],[Descrição]]="","",VLOOKUP(Tabela3[[#This Row],[Descrição]],Tabela4[[Descrição]:[Tipo Receita/ Gasto]],2,FALSE))</f>
        <v/>
      </c>
      <c r="F554" s="122"/>
      <c r="G554" s="113" t="str">
        <f>IF(Tabela3[[#This Row],[Valor]]="","",G553+F554)</f>
        <v/>
      </c>
      <c r="H554" s="121"/>
      <c r="I554" s="120"/>
    </row>
    <row r="555" spans="1:9" x14ac:dyDescent="0.25">
      <c r="A555" s="4">
        <f>YEAR(Tabela3[[#This Row],[Data]])</f>
        <v>1900</v>
      </c>
      <c r="B555" s="121"/>
      <c r="C555" s="120"/>
      <c r="D555" s="120"/>
      <c r="E555" s="126" t="str">
        <f>IF(Tabela3[[#This Row],[Descrição]]="","",VLOOKUP(Tabela3[[#This Row],[Descrição]],Tabela4[[Descrição]:[Tipo Receita/ Gasto]],2,FALSE))</f>
        <v/>
      </c>
      <c r="F555" s="122"/>
      <c r="G555" s="113" t="str">
        <f>IF(Tabela3[[#This Row],[Valor]]="","",G554+F555)</f>
        <v/>
      </c>
      <c r="H555" s="121"/>
      <c r="I555" s="120"/>
    </row>
    <row r="556" spans="1:9" x14ac:dyDescent="0.25">
      <c r="A556" s="4">
        <f>YEAR(Tabela3[[#This Row],[Data]])</f>
        <v>1900</v>
      </c>
      <c r="B556" s="121"/>
      <c r="C556" s="120"/>
      <c r="D556" s="120"/>
      <c r="E556" s="126" t="str">
        <f>IF(Tabela3[[#This Row],[Descrição]]="","",VLOOKUP(Tabela3[[#This Row],[Descrição]],Tabela4[[Descrição]:[Tipo Receita/ Gasto]],2,FALSE))</f>
        <v/>
      </c>
      <c r="F556" s="122"/>
      <c r="G556" s="113" t="str">
        <f>IF(Tabela3[[#This Row],[Valor]]="","",G555+F556)</f>
        <v/>
      </c>
      <c r="H556" s="121"/>
      <c r="I556" s="120"/>
    </row>
    <row r="557" spans="1:9" x14ac:dyDescent="0.25">
      <c r="A557" s="4">
        <f>YEAR(Tabela3[[#This Row],[Data]])</f>
        <v>1900</v>
      </c>
      <c r="B557" s="121"/>
      <c r="C557" s="120"/>
      <c r="D557" s="120"/>
      <c r="E557" s="126" t="str">
        <f>IF(Tabela3[[#This Row],[Descrição]]="","",VLOOKUP(Tabela3[[#This Row],[Descrição]],Tabela4[[Descrição]:[Tipo Receita/ Gasto]],2,FALSE))</f>
        <v/>
      </c>
      <c r="F557" s="122"/>
      <c r="G557" s="113" t="str">
        <f>IF(Tabela3[[#This Row],[Valor]]="","",G556+F557)</f>
        <v/>
      </c>
      <c r="H557" s="121"/>
      <c r="I557" s="120"/>
    </row>
    <row r="558" spans="1:9" x14ac:dyDescent="0.25">
      <c r="A558" s="4">
        <f>YEAR(Tabela3[[#This Row],[Data]])</f>
        <v>1900</v>
      </c>
      <c r="B558" s="121"/>
      <c r="C558" s="120"/>
      <c r="D558" s="120"/>
      <c r="E558" s="126" t="str">
        <f>IF(Tabela3[[#This Row],[Descrição]]="","",VLOOKUP(Tabela3[[#This Row],[Descrição]],Tabela4[[Descrição]:[Tipo Receita/ Gasto]],2,FALSE))</f>
        <v/>
      </c>
      <c r="F558" s="122"/>
      <c r="G558" s="113" t="str">
        <f>IF(Tabela3[[#This Row],[Valor]]="","",G557+F558)</f>
        <v/>
      </c>
      <c r="H558" s="121"/>
      <c r="I558" s="120"/>
    </row>
    <row r="559" spans="1:9" x14ac:dyDescent="0.25">
      <c r="A559" s="4">
        <f>YEAR(Tabela3[[#This Row],[Data]])</f>
        <v>1900</v>
      </c>
      <c r="B559" s="121"/>
      <c r="C559" s="120"/>
      <c r="D559" s="120"/>
      <c r="E559" s="126" t="str">
        <f>IF(Tabela3[[#This Row],[Descrição]]="","",VLOOKUP(Tabela3[[#This Row],[Descrição]],Tabela4[[Descrição]:[Tipo Receita/ Gasto]],2,FALSE))</f>
        <v/>
      </c>
      <c r="F559" s="122"/>
      <c r="G559" s="113" t="str">
        <f>IF(Tabela3[[#This Row],[Valor]]="","",G558+F559)</f>
        <v/>
      </c>
      <c r="H559" s="121"/>
      <c r="I559" s="120"/>
    </row>
    <row r="560" spans="1:9" x14ac:dyDescent="0.25">
      <c r="A560" s="4">
        <f>YEAR(Tabela3[[#This Row],[Data]])</f>
        <v>1900</v>
      </c>
      <c r="B560" s="121"/>
      <c r="C560" s="120"/>
      <c r="D560" s="120"/>
      <c r="E560" s="126" t="str">
        <f>IF(Tabela3[[#This Row],[Descrição]]="","",VLOOKUP(Tabela3[[#This Row],[Descrição]],Tabela4[[Descrição]:[Tipo Receita/ Gasto]],2,FALSE))</f>
        <v/>
      </c>
      <c r="F560" s="122"/>
      <c r="G560" s="113" t="str">
        <f>IF(Tabela3[[#This Row],[Valor]]="","",G559+F560)</f>
        <v/>
      </c>
      <c r="H560" s="121"/>
      <c r="I560" s="120"/>
    </row>
    <row r="561" spans="1:9" x14ac:dyDescent="0.25">
      <c r="A561" s="4">
        <f>YEAR(Tabela3[[#This Row],[Data]])</f>
        <v>1900</v>
      </c>
      <c r="B561" s="121"/>
      <c r="C561" s="120"/>
      <c r="D561" s="120"/>
      <c r="E561" s="126" t="str">
        <f>IF(Tabela3[[#This Row],[Descrição]]="","",VLOOKUP(Tabela3[[#This Row],[Descrição]],Tabela4[[Descrição]:[Tipo Receita/ Gasto]],2,FALSE))</f>
        <v/>
      </c>
      <c r="F561" s="122"/>
      <c r="G561" s="113" t="str">
        <f>IF(Tabela3[[#This Row],[Valor]]="","",G560+F561)</f>
        <v/>
      </c>
      <c r="H561" s="121"/>
      <c r="I561" s="120"/>
    </row>
    <row r="562" spans="1:9" x14ac:dyDescent="0.25">
      <c r="A562" s="4">
        <f>YEAR(Tabela3[[#This Row],[Data]])</f>
        <v>1900</v>
      </c>
      <c r="B562" s="121"/>
      <c r="C562" s="120"/>
      <c r="D562" s="120"/>
      <c r="E562" s="126" t="str">
        <f>IF(Tabela3[[#This Row],[Descrição]]="","",VLOOKUP(Tabela3[[#This Row],[Descrição]],Tabela4[[Descrição]:[Tipo Receita/ Gasto]],2,FALSE))</f>
        <v/>
      </c>
      <c r="F562" s="122"/>
      <c r="G562" s="113" t="str">
        <f>IF(Tabela3[[#This Row],[Valor]]="","",G561+F562)</f>
        <v/>
      </c>
      <c r="H562" s="121"/>
      <c r="I562" s="120"/>
    </row>
    <row r="563" spans="1:9" x14ac:dyDescent="0.25">
      <c r="A563" s="4">
        <f>YEAR(Tabela3[[#This Row],[Data]])</f>
        <v>1900</v>
      </c>
      <c r="B563" s="121"/>
      <c r="C563" s="120"/>
      <c r="D563" s="120"/>
      <c r="E563" s="126" t="str">
        <f>IF(Tabela3[[#This Row],[Descrição]]="","",VLOOKUP(Tabela3[[#This Row],[Descrição]],Tabela4[[Descrição]:[Tipo Receita/ Gasto]],2,FALSE))</f>
        <v/>
      </c>
      <c r="F563" s="122"/>
      <c r="G563" s="113" t="str">
        <f>IF(Tabela3[[#This Row],[Valor]]="","",G562+F563)</f>
        <v/>
      </c>
      <c r="H563" s="121"/>
      <c r="I563" s="120"/>
    </row>
    <row r="564" spans="1:9" x14ac:dyDescent="0.25">
      <c r="A564" s="4">
        <f>YEAR(Tabela3[[#This Row],[Data]])</f>
        <v>1900</v>
      </c>
      <c r="B564" s="121"/>
      <c r="C564" s="120"/>
      <c r="D564" s="120"/>
      <c r="E564" s="126" t="str">
        <f>IF(Tabela3[[#This Row],[Descrição]]="","",VLOOKUP(Tabela3[[#This Row],[Descrição]],Tabela4[[Descrição]:[Tipo Receita/ Gasto]],2,FALSE))</f>
        <v/>
      </c>
      <c r="F564" s="122"/>
      <c r="G564" s="113" t="str">
        <f>IF(Tabela3[[#This Row],[Valor]]="","",G563+F564)</f>
        <v/>
      </c>
      <c r="H564" s="121"/>
      <c r="I564" s="120"/>
    </row>
    <row r="565" spans="1:9" x14ac:dyDescent="0.25">
      <c r="A565" s="4">
        <f>YEAR(Tabela3[[#This Row],[Data]])</f>
        <v>1900</v>
      </c>
      <c r="B565" s="121"/>
      <c r="C565" s="120"/>
      <c r="D565" s="120"/>
      <c r="E565" s="126" t="str">
        <f>IF(Tabela3[[#This Row],[Descrição]]="","",VLOOKUP(Tabela3[[#This Row],[Descrição]],Tabela4[[Descrição]:[Tipo Receita/ Gasto]],2,FALSE))</f>
        <v/>
      </c>
      <c r="F565" s="122"/>
      <c r="G565" s="113" t="str">
        <f>IF(Tabela3[[#This Row],[Valor]]="","",G564+F565)</f>
        <v/>
      </c>
      <c r="H565" s="121"/>
      <c r="I565" s="120"/>
    </row>
    <row r="566" spans="1:9" x14ac:dyDescent="0.25">
      <c r="A566" s="4">
        <f>YEAR(Tabela3[[#This Row],[Data]])</f>
        <v>1900</v>
      </c>
      <c r="B566" s="121"/>
      <c r="C566" s="120"/>
      <c r="D566" s="120"/>
      <c r="E566" s="126" t="str">
        <f>IF(Tabela3[[#This Row],[Descrição]]="","",VLOOKUP(Tabela3[[#This Row],[Descrição]],Tabela4[[Descrição]:[Tipo Receita/ Gasto]],2,FALSE))</f>
        <v/>
      </c>
      <c r="F566" s="122"/>
      <c r="G566" s="113" t="str">
        <f>IF(Tabela3[[#This Row],[Valor]]="","",G565+F566)</f>
        <v/>
      </c>
      <c r="H566" s="121"/>
      <c r="I566" s="120"/>
    </row>
    <row r="567" spans="1:9" x14ac:dyDescent="0.25">
      <c r="A567" s="4">
        <f>YEAR(Tabela3[[#This Row],[Data]])</f>
        <v>1900</v>
      </c>
      <c r="B567" s="121"/>
      <c r="C567" s="120"/>
      <c r="D567" s="120"/>
      <c r="E567" s="126" t="str">
        <f>IF(Tabela3[[#This Row],[Descrição]]="","",VLOOKUP(Tabela3[[#This Row],[Descrição]],Tabela4[[Descrição]:[Tipo Receita/ Gasto]],2,FALSE))</f>
        <v/>
      </c>
      <c r="F567" s="122"/>
      <c r="G567" s="113" t="str">
        <f>IF(Tabela3[[#This Row],[Valor]]="","",G566+F567)</f>
        <v/>
      </c>
      <c r="H567" s="121"/>
      <c r="I567" s="120"/>
    </row>
    <row r="568" spans="1:9" x14ac:dyDescent="0.25">
      <c r="A568" s="4">
        <f>YEAR(Tabela3[[#This Row],[Data]])</f>
        <v>1900</v>
      </c>
      <c r="B568" s="121"/>
      <c r="C568" s="120"/>
      <c r="D568" s="120"/>
      <c r="E568" s="126" t="str">
        <f>IF(Tabela3[[#This Row],[Descrição]]="","",VLOOKUP(Tabela3[[#This Row],[Descrição]],Tabela4[[Descrição]:[Tipo Receita/ Gasto]],2,FALSE))</f>
        <v/>
      </c>
      <c r="F568" s="122"/>
      <c r="G568" s="113" t="str">
        <f>IF(Tabela3[[#This Row],[Valor]]="","",G567+F568)</f>
        <v/>
      </c>
      <c r="H568" s="121"/>
      <c r="I568" s="120"/>
    </row>
    <row r="569" spans="1:9" x14ac:dyDescent="0.25">
      <c r="A569" s="4">
        <f>YEAR(Tabela3[[#This Row],[Data]])</f>
        <v>1900</v>
      </c>
      <c r="B569" s="121"/>
      <c r="C569" s="120"/>
      <c r="D569" s="120"/>
      <c r="E569" s="126" t="str">
        <f>IF(Tabela3[[#This Row],[Descrição]]="","",VLOOKUP(Tabela3[[#This Row],[Descrição]],Tabela4[[Descrição]:[Tipo Receita/ Gasto]],2,FALSE))</f>
        <v/>
      </c>
      <c r="F569" s="122"/>
      <c r="G569" s="113" t="str">
        <f>IF(Tabela3[[#This Row],[Valor]]="","",G568+F569)</f>
        <v/>
      </c>
      <c r="H569" s="121"/>
      <c r="I569" s="120"/>
    </row>
    <row r="570" spans="1:9" x14ac:dyDescent="0.25">
      <c r="A570" s="4">
        <f>YEAR(Tabela3[[#This Row],[Data]])</f>
        <v>1900</v>
      </c>
      <c r="B570" s="121"/>
      <c r="C570" s="120"/>
      <c r="D570" s="120"/>
      <c r="E570" s="126" t="str">
        <f>IF(Tabela3[[#This Row],[Descrição]]="","",VLOOKUP(Tabela3[[#This Row],[Descrição]],Tabela4[[Descrição]:[Tipo Receita/ Gasto]],2,FALSE))</f>
        <v/>
      </c>
      <c r="F570" s="122"/>
      <c r="G570" s="113" t="str">
        <f>IF(Tabela3[[#This Row],[Valor]]="","",G569+F570)</f>
        <v/>
      </c>
      <c r="H570" s="121"/>
      <c r="I570" s="120"/>
    </row>
    <row r="571" spans="1:9" x14ac:dyDescent="0.25">
      <c r="A571" s="4">
        <f>YEAR(Tabela3[[#This Row],[Data]])</f>
        <v>1900</v>
      </c>
      <c r="B571" s="121"/>
      <c r="C571" s="120"/>
      <c r="D571" s="120"/>
      <c r="E571" s="126" t="str">
        <f>IF(Tabela3[[#This Row],[Descrição]]="","",VLOOKUP(Tabela3[[#This Row],[Descrição]],Tabela4[[Descrição]:[Tipo Receita/ Gasto]],2,FALSE))</f>
        <v/>
      </c>
      <c r="F571" s="122"/>
      <c r="G571" s="113" t="str">
        <f>IF(Tabela3[[#This Row],[Valor]]="","",G570+F571)</f>
        <v/>
      </c>
      <c r="H571" s="121"/>
      <c r="I571" s="120"/>
    </row>
    <row r="572" spans="1:9" x14ac:dyDescent="0.25">
      <c r="A572" s="4">
        <f>YEAR(Tabela3[[#This Row],[Data]])</f>
        <v>1900</v>
      </c>
      <c r="B572" s="121"/>
      <c r="C572" s="120"/>
      <c r="D572" s="120"/>
      <c r="E572" s="126" t="str">
        <f>IF(Tabela3[[#This Row],[Descrição]]="","",VLOOKUP(Tabela3[[#This Row],[Descrição]],Tabela4[[Descrição]:[Tipo Receita/ Gasto]],2,FALSE))</f>
        <v/>
      </c>
      <c r="F572" s="122"/>
      <c r="G572" s="113" t="str">
        <f>IF(Tabela3[[#This Row],[Valor]]="","",G571+F572)</f>
        <v/>
      </c>
      <c r="H572" s="121"/>
      <c r="I572" s="120"/>
    </row>
    <row r="573" spans="1:9" x14ac:dyDescent="0.25">
      <c r="A573" s="4">
        <f>YEAR(Tabela3[[#This Row],[Data]])</f>
        <v>1900</v>
      </c>
      <c r="B573" s="121"/>
      <c r="C573" s="120"/>
      <c r="D573" s="120"/>
      <c r="E573" s="126" t="str">
        <f>IF(Tabela3[[#This Row],[Descrição]]="","",VLOOKUP(Tabela3[[#This Row],[Descrição]],Tabela4[[Descrição]:[Tipo Receita/ Gasto]],2,FALSE))</f>
        <v/>
      </c>
      <c r="F573" s="122"/>
      <c r="G573" s="113" t="str">
        <f>IF(Tabela3[[#This Row],[Valor]]="","",G572+F573)</f>
        <v/>
      </c>
      <c r="H573" s="121"/>
      <c r="I573" s="120"/>
    </row>
    <row r="574" spans="1:9" x14ac:dyDescent="0.25">
      <c r="A574" s="4">
        <f>YEAR(Tabela3[[#This Row],[Data]])</f>
        <v>1900</v>
      </c>
      <c r="B574" s="121"/>
      <c r="C574" s="120"/>
      <c r="D574" s="120"/>
      <c r="E574" s="126" t="str">
        <f>IF(Tabela3[[#This Row],[Descrição]]="","",VLOOKUP(Tabela3[[#This Row],[Descrição]],Tabela4[[Descrição]:[Tipo Receita/ Gasto]],2,FALSE))</f>
        <v/>
      </c>
      <c r="F574" s="122"/>
      <c r="G574" s="113" t="str">
        <f>IF(Tabela3[[#This Row],[Valor]]="","",G573+F574)</f>
        <v/>
      </c>
      <c r="H574" s="121"/>
      <c r="I574" s="120"/>
    </row>
    <row r="575" spans="1:9" x14ac:dyDescent="0.25">
      <c r="A575" s="4">
        <f>YEAR(Tabela3[[#This Row],[Data]])</f>
        <v>1900</v>
      </c>
      <c r="B575" s="121"/>
      <c r="C575" s="120"/>
      <c r="D575" s="120"/>
      <c r="E575" s="126" t="str">
        <f>IF(Tabela3[[#This Row],[Descrição]]="","",VLOOKUP(Tabela3[[#This Row],[Descrição]],Tabela4[[Descrição]:[Tipo Receita/ Gasto]],2,FALSE))</f>
        <v/>
      </c>
      <c r="F575" s="122"/>
      <c r="G575" s="113" t="str">
        <f>IF(Tabela3[[#This Row],[Valor]]="","",G574+F575)</f>
        <v/>
      </c>
      <c r="H575" s="121"/>
      <c r="I575" s="120"/>
    </row>
    <row r="576" spans="1:9" x14ac:dyDescent="0.25">
      <c r="A576" s="4">
        <f>YEAR(Tabela3[[#This Row],[Data]])</f>
        <v>1900</v>
      </c>
      <c r="B576" s="121"/>
      <c r="C576" s="120"/>
      <c r="D576" s="120"/>
      <c r="E576" s="126" t="str">
        <f>IF(Tabela3[[#This Row],[Descrição]]="","",VLOOKUP(Tabela3[[#This Row],[Descrição]],Tabela4[[Descrição]:[Tipo Receita/ Gasto]],2,FALSE))</f>
        <v/>
      </c>
      <c r="F576" s="122"/>
      <c r="G576" s="113" t="str">
        <f>IF(Tabela3[[#This Row],[Valor]]="","",G575+F576)</f>
        <v/>
      </c>
      <c r="H576" s="121"/>
      <c r="I576" s="120"/>
    </row>
    <row r="577" spans="1:9" x14ac:dyDescent="0.25">
      <c r="A577" s="4">
        <f>YEAR(Tabela3[[#This Row],[Data]])</f>
        <v>1900</v>
      </c>
      <c r="B577" s="121"/>
      <c r="C577" s="120"/>
      <c r="D577" s="120"/>
      <c r="E577" s="126" t="str">
        <f>IF(Tabela3[[#This Row],[Descrição]]="","",VLOOKUP(Tabela3[[#This Row],[Descrição]],Tabela4[[Descrição]:[Tipo Receita/ Gasto]],2,FALSE))</f>
        <v/>
      </c>
      <c r="F577" s="122"/>
      <c r="G577" s="113" t="str">
        <f>IF(Tabela3[[#This Row],[Valor]]="","",G576+F577)</f>
        <v/>
      </c>
      <c r="H577" s="121"/>
      <c r="I577" s="120"/>
    </row>
    <row r="578" spans="1:9" x14ac:dyDescent="0.25">
      <c r="A578" s="4">
        <f>YEAR(Tabela3[[#This Row],[Data]])</f>
        <v>1900</v>
      </c>
      <c r="B578" s="121"/>
      <c r="C578" s="120"/>
      <c r="D578" s="120"/>
      <c r="E578" s="126" t="str">
        <f>IF(Tabela3[[#This Row],[Descrição]]="","",VLOOKUP(Tabela3[[#This Row],[Descrição]],Tabela4[[Descrição]:[Tipo Receita/ Gasto]],2,FALSE))</f>
        <v/>
      </c>
      <c r="F578" s="122"/>
      <c r="G578" s="113" t="str">
        <f>IF(Tabela3[[#This Row],[Valor]]="","",G577+F578)</f>
        <v/>
      </c>
      <c r="H578" s="121"/>
      <c r="I578" s="120"/>
    </row>
    <row r="579" spans="1:9" x14ac:dyDescent="0.25">
      <c r="A579" s="4">
        <f>YEAR(Tabela3[[#This Row],[Data]])</f>
        <v>1900</v>
      </c>
      <c r="B579" s="121"/>
      <c r="C579" s="120"/>
      <c r="D579" s="120"/>
      <c r="E579" s="126" t="str">
        <f>IF(Tabela3[[#This Row],[Descrição]]="","",VLOOKUP(Tabela3[[#This Row],[Descrição]],Tabela4[[Descrição]:[Tipo Receita/ Gasto]],2,FALSE))</f>
        <v/>
      </c>
      <c r="F579" s="122"/>
      <c r="G579" s="113" t="str">
        <f>IF(Tabela3[[#This Row],[Valor]]="","",G578+F579)</f>
        <v/>
      </c>
      <c r="H579" s="121"/>
      <c r="I579" s="120"/>
    </row>
    <row r="580" spans="1:9" x14ac:dyDescent="0.25">
      <c r="A580" s="4">
        <f>YEAR(Tabela3[[#This Row],[Data]])</f>
        <v>1900</v>
      </c>
      <c r="B580" s="121"/>
      <c r="C580" s="120"/>
      <c r="D580" s="120"/>
      <c r="E580" s="126" t="str">
        <f>IF(Tabela3[[#This Row],[Descrição]]="","",VLOOKUP(Tabela3[[#This Row],[Descrição]],Tabela4[[Descrição]:[Tipo Receita/ Gasto]],2,FALSE))</f>
        <v/>
      </c>
      <c r="F580" s="122"/>
      <c r="G580" s="113" t="str">
        <f>IF(Tabela3[[#This Row],[Valor]]="","",G579+F580)</f>
        <v/>
      </c>
      <c r="H580" s="121"/>
      <c r="I580" s="120"/>
    </row>
    <row r="581" spans="1:9" x14ac:dyDescent="0.25">
      <c r="A581" s="4">
        <f>YEAR(Tabela3[[#This Row],[Data]])</f>
        <v>1900</v>
      </c>
      <c r="B581" s="121"/>
      <c r="C581" s="120"/>
      <c r="D581" s="120"/>
      <c r="E581" s="126" t="str">
        <f>IF(Tabela3[[#This Row],[Descrição]]="","",VLOOKUP(Tabela3[[#This Row],[Descrição]],Tabela4[[Descrição]:[Tipo Receita/ Gasto]],2,FALSE))</f>
        <v/>
      </c>
      <c r="F581" s="122"/>
      <c r="G581" s="113" t="str">
        <f>IF(Tabela3[[#This Row],[Valor]]="","",G580+F581)</f>
        <v/>
      </c>
      <c r="H581" s="121"/>
      <c r="I581" s="120"/>
    </row>
    <row r="582" spans="1:9" x14ac:dyDescent="0.25">
      <c r="A582" s="4">
        <f>YEAR(Tabela3[[#This Row],[Data]])</f>
        <v>1900</v>
      </c>
      <c r="B582" s="121"/>
      <c r="C582" s="120"/>
      <c r="D582" s="120"/>
      <c r="E582" s="126" t="str">
        <f>IF(Tabela3[[#This Row],[Descrição]]="","",VLOOKUP(Tabela3[[#This Row],[Descrição]],Tabela4[[Descrição]:[Tipo Receita/ Gasto]],2,FALSE))</f>
        <v/>
      </c>
      <c r="F582" s="122"/>
      <c r="G582" s="113" t="str">
        <f>IF(Tabela3[[#This Row],[Valor]]="","",G581+F582)</f>
        <v/>
      </c>
      <c r="H582" s="121"/>
      <c r="I582" s="120"/>
    </row>
    <row r="583" spans="1:9" x14ac:dyDescent="0.25">
      <c r="A583" s="4">
        <f>YEAR(Tabela3[[#This Row],[Data]])</f>
        <v>1900</v>
      </c>
      <c r="B583" s="121"/>
      <c r="C583" s="120"/>
      <c r="D583" s="120"/>
      <c r="E583" s="126" t="str">
        <f>IF(Tabela3[[#This Row],[Descrição]]="","",VLOOKUP(Tabela3[[#This Row],[Descrição]],Tabela4[[Descrição]:[Tipo Receita/ Gasto]],2,FALSE))</f>
        <v/>
      </c>
      <c r="F583" s="122"/>
      <c r="G583" s="113" t="str">
        <f>IF(Tabela3[[#This Row],[Valor]]="","",G582+F583)</f>
        <v/>
      </c>
      <c r="H583" s="121"/>
      <c r="I583" s="120"/>
    </row>
    <row r="584" spans="1:9" x14ac:dyDescent="0.25">
      <c r="A584" s="4">
        <f>YEAR(Tabela3[[#This Row],[Data]])</f>
        <v>1900</v>
      </c>
      <c r="B584" s="121"/>
      <c r="C584" s="120"/>
      <c r="D584" s="120"/>
      <c r="E584" s="126" t="str">
        <f>IF(Tabela3[[#This Row],[Descrição]]="","",VLOOKUP(Tabela3[[#This Row],[Descrição]],Tabela4[[Descrição]:[Tipo Receita/ Gasto]],2,FALSE))</f>
        <v/>
      </c>
      <c r="F584" s="122"/>
      <c r="G584" s="113" t="str">
        <f>IF(Tabela3[[#This Row],[Valor]]="","",G583+F584)</f>
        <v/>
      </c>
      <c r="H584" s="121"/>
      <c r="I584" s="120"/>
    </row>
    <row r="585" spans="1:9" x14ac:dyDescent="0.25">
      <c r="A585" s="4">
        <f>YEAR(Tabela3[[#This Row],[Data]])</f>
        <v>1900</v>
      </c>
      <c r="B585" s="121"/>
      <c r="C585" s="120"/>
      <c r="D585" s="120"/>
      <c r="E585" s="126" t="str">
        <f>IF(Tabela3[[#This Row],[Descrição]]="","",VLOOKUP(Tabela3[[#This Row],[Descrição]],Tabela4[[Descrição]:[Tipo Receita/ Gasto]],2,FALSE))</f>
        <v/>
      </c>
      <c r="F585" s="122"/>
      <c r="G585" s="113" t="str">
        <f>IF(Tabela3[[#This Row],[Valor]]="","",G584+F585)</f>
        <v/>
      </c>
      <c r="H585" s="121"/>
      <c r="I585" s="120"/>
    </row>
    <row r="586" spans="1:9" x14ac:dyDescent="0.25">
      <c r="A586" s="4">
        <f>YEAR(Tabela3[[#This Row],[Data]])</f>
        <v>1900</v>
      </c>
      <c r="B586" s="121"/>
      <c r="C586" s="120"/>
      <c r="D586" s="120"/>
      <c r="E586" s="126" t="str">
        <f>IF(Tabela3[[#This Row],[Descrição]]="","",VLOOKUP(Tabela3[[#This Row],[Descrição]],Tabela4[[Descrição]:[Tipo Receita/ Gasto]],2,FALSE))</f>
        <v/>
      </c>
      <c r="F586" s="122"/>
      <c r="G586" s="113" t="str">
        <f>IF(Tabela3[[#This Row],[Valor]]="","",G585+F586)</f>
        <v/>
      </c>
      <c r="H586" s="121"/>
      <c r="I586" s="120"/>
    </row>
    <row r="587" spans="1:9" x14ac:dyDescent="0.25">
      <c r="A587" s="4">
        <f>YEAR(Tabela3[[#This Row],[Data]])</f>
        <v>1900</v>
      </c>
      <c r="B587" s="121"/>
      <c r="C587" s="120"/>
      <c r="D587" s="120"/>
      <c r="E587" s="126" t="str">
        <f>IF(Tabela3[[#This Row],[Descrição]]="","",VLOOKUP(Tabela3[[#This Row],[Descrição]],Tabela4[[Descrição]:[Tipo Receita/ Gasto]],2,FALSE))</f>
        <v/>
      </c>
      <c r="F587" s="122"/>
      <c r="G587" s="113" t="str">
        <f>IF(Tabela3[[#This Row],[Valor]]="","",G586+F587)</f>
        <v/>
      </c>
      <c r="H587" s="121"/>
      <c r="I587" s="120"/>
    </row>
    <row r="588" spans="1:9" x14ac:dyDescent="0.25">
      <c r="A588" s="4">
        <f>YEAR(Tabela3[[#This Row],[Data]])</f>
        <v>1900</v>
      </c>
      <c r="B588" s="121"/>
      <c r="C588" s="120"/>
      <c r="D588" s="120"/>
      <c r="E588" s="126" t="str">
        <f>IF(Tabela3[[#This Row],[Descrição]]="","",VLOOKUP(Tabela3[[#This Row],[Descrição]],Tabela4[[Descrição]:[Tipo Receita/ Gasto]],2,FALSE))</f>
        <v/>
      </c>
      <c r="F588" s="122"/>
      <c r="G588" s="113" t="str">
        <f>IF(Tabela3[[#This Row],[Valor]]="","",G587+F588)</f>
        <v/>
      </c>
      <c r="H588" s="121"/>
      <c r="I588" s="120"/>
    </row>
    <row r="589" spans="1:9" x14ac:dyDescent="0.25">
      <c r="A589" s="4">
        <f>YEAR(Tabela3[[#This Row],[Data]])</f>
        <v>1900</v>
      </c>
      <c r="B589" s="121"/>
      <c r="C589" s="120"/>
      <c r="D589" s="120"/>
      <c r="E589" s="126" t="str">
        <f>IF(Tabela3[[#This Row],[Descrição]]="","",VLOOKUP(Tabela3[[#This Row],[Descrição]],Tabela4[[Descrição]:[Tipo Receita/ Gasto]],2,FALSE))</f>
        <v/>
      </c>
      <c r="F589" s="122"/>
      <c r="G589" s="113" t="str">
        <f>IF(Tabela3[[#This Row],[Valor]]="","",G588+F589)</f>
        <v/>
      </c>
      <c r="H589" s="121"/>
      <c r="I589" s="120"/>
    </row>
    <row r="590" spans="1:9" x14ac:dyDescent="0.25">
      <c r="A590" s="4">
        <f>YEAR(Tabela3[[#This Row],[Data]])</f>
        <v>1900</v>
      </c>
      <c r="B590" s="121"/>
      <c r="C590" s="120"/>
      <c r="D590" s="120"/>
      <c r="E590" s="126" t="str">
        <f>IF(Tabela3[[#This Row],[Descrição]]="","",VLOOKUP(Tabela3[[#This Row],[Descrição]],Tabela4[[Descrição]:[Tipo Receita/ Gasto]],2,FALSE))</f>
        <v/>
      </c>
      <c r="F590" s="122"/>
      <c r="G590" s="113" t="str">
        <f>IF(Tabela3[[#This Row],[Valor]]="","",G589+F590)</f>
        <v/>
      </c>
      <c r="H590" s="121"/>
      <c r="I590" s="120"/>
    </row>
    <row r="591" spans="1:9" x14ac:dyDescent="0.25">
      <c r="A591" s="4">
        <f>YEAR(Tabela3[[#This Row],[Data]])</f>
        <v>1900</v>
      </c>
      <c r="B591" s="121"/>
      <c r="C591" s="120"/>
      <c r="D591" s="120"/>
      <c r="E591" s="126" t="str">
        <f>IF(Tabela3[[#This Row],[Descrição]]="","",VLOOKUP(Tabela3[[#This Row],[Descrição]],Tabela4[[Descrição]:[Tipo Receita/ Gasto]],2,FALSE))</f>
        <v/>
      </c>
      <c r="F591" s="122"/>
      <c r="G591" s="113" t="str">
        <f>IF(Tabela3[[#This Row],[Valor]]="","",G590+F591)</f>
        <v/>
      </c>
      <c r="H591" s="121"/>
      <c r="I591" s="120"/>
    </row>
    <row r="592" spans="1:9" x14ac:dyDescent="0.25">
      <c r="A592" s="4">
        <f>YEAR(Tabela3[[#This Row],[Data]])</f>
        <v>1900</v>
      </c>
      <c r="B592" s="121"/>
      <c r="C592" s="120"/>
      <c r="D592" s="120"/>
      <c r="E592" s="126" t="str">
        <f>IF(Tabela3[[#This Row],[Descrição]]="","",VLOOKUP(Tabela3[[#This Row],[Descrição]],Tabela4[[Descrição]:[Tipo Receita/ Gasto]],2,FALSE))</f>
        <v/>
      </c>
      <c r="F592" s="122"/>
      <c r="G592" s="113" t="str">
        <f>IF(Tabela3[[#This Row],[Valor]]="","",G591+F592)</f>
        <v/>
      </c>
      <c r="H592" s="121"/>
      <c r="I592" s="120"/>
    </row>
    <row r="593" spans="1:9" x14ac:dyDescent="0.25">
      <c r="A593" s="4">
        <f>YEAR(Tabela3[[#This Row],[Data]])</f>
        <v>1900</v>
      </c>
      <c r="B593" s="121"/>
      <c r="C593" s="120"/>
      <c r="D593" s="120"/>
      <c r="E593" s="126" t="str">
        <f>IF(Tabela3[[#This Row],[Descrição]]="","",VLOOKUP(Tabela3[[#This Row],[Descrição]],Tabela4[[Descrição]:[Tipo Receita/ Gasto]],2,FALSE))</f>
        <v/>
      </c>
      <c r="F593" s="122"/>
      <c r="G593" s="113" t="str">
        <f>IF(Tabela3[[#This Row],[Valor]]="","",G592+F593)</f>
        <v/>
      </c>
      <c r="H593" s="121"/>
      <c r="I593" s="120"/>
    </row>
    <row r="594" spans="1:9" x14ac:dyDescent="0.25">
      <c r="A594" s="4">
        <f>YEAR(Tabela3[[#This Row],[Data]])</f>
        <v>1900</v>
      </c>
      <c r="B594" s="121"/>
      <c r="C594" s="120"/>
      <c r="D594" s="120"/>
      <c r="E594" s="126" t="str">
        <f>IF(Tabela3[[#This Row],[Descrição]]="","",VLOOKUP(Tabela3[[#This Row],[Descrição]],Tabela4[[Descrição]:[Tipo Receita/ Gasto]],2,FALSE))</f>
        <v/>
      </c>
      <c r="F594" s="122"/>
      <c r="G594" s="113" t="str">
        <f>IF(Tabela3[[#This Row],[Valor]]="","",G593+F594)</f>
        <v/>
      </c>
      <c r="H594" s="121"/>
      <c r="I594" s="120"/>
    </row>
    <row r="595" spans="1:9" x14ac:dyDescent="0.25">
      <c r="A595" s="4">
        <f>YEAR(Tabela3[[#This Row],[Data]])</f>
        <v>1900</v>
      </c>
      <c r="B595" s="121"/>
      <c r="C595" s="120"/>
      <c r="D595" s="120"/>
      <c r="E595" s="126" t="str">
        <f>IF(Tabela3[[#This Row],[Descrição]]="","",VLOOKUP(Tabela3[[#This Row],[Descrição]],Tabela4[[Descrição]:[Tipo Receita/ Gasto]],2,FALSE))</f>
        <v/>
      </c>
      <c r="F595" s="122"/>
      <c r="G595" s="113" t="str">
        <f>IF(Tabela3[[#This Row],[Valor]]="","",G594+F595)</f>
        <v/>
      </c>
      <c r="H595" s="121"/>
      <c r="I595" s="120"/>
    </row>
    <row r="596" spans="1:9" x14ac:dyDescent="0.25">
      <c r="A596" s="4">
        <f>YEAR(Tabela3[[#This Row],[Data]])</f>
        <v>1900</v>
      </c>
      <c r="B596" s="121"/>
      <c r="C596" s="120"/>
      <c r="D596" s="120"/>
      <c r="E596" s="126" t="str">
        <f>IF(Tabela3[[#This Row],[Descrição]]="","",VLOOKUP(Tabela3[[#This Row],[Descrição]],Tabela4[[Descrição]:[Tipo Receita/ Gasto]],2,FALSE))</f>
        <v/>
      </c>
      <c r="F596" s="122"/>
      <c r="G596" s="113" t="str">
        <f>IF(Tabela3[[#This Row],[Valor]]="","",G595+F596)</f>
        <v/>
      </c>
      <c r="H596" s="121"/>
      <c r="I596" s="120"/>
    </row>
    <row r="597" spans="1:9" x14ac:dyDescent="0.25">
      <c r="A597" s="4">
        <f>YEAR(Tabela3[[#This Row],[Data]])</f>
        <v>1900</v>
      </c>
      <c r="B597" s="121"/>
      <c r="C597" s="120"/>
      <c r="D597" s="120"/>
      <c r="E597" s="126" t="str">
        <f>IF(Tabela3[[#This Row],[Descrição]]="","",VLOOKUP(Tabela3[[#This Row],[Descrição]],Tabela4[[Descrição]:[Tipo Receita/ Gasto]],2,FALSE))</f>
        <v/>
      </c>
      <c r="F597" s="122"/>
      <c r="G597" s="113" t="str">
        <f>IF(Tabela3[[#This Row],[Valor]]="","",G596+F597)</f>
        <v/>
      </c>
      <c r="H597" s="121"/>
      <c r="I597" s="120"/>
    </row>
    <row r="598" spans="1:9" x14ac:dyDescent="0.25">
      <c r="A598" s="4">
        <f>YEAR(Tabela3[[#This Row],[Data]])</f>
        <v>1900</v>
      </c>
      <c r="B598" s="121"/>
      <c r="C598" s="120"/>
      <c r="D598" s="120"/>
      <c r="E598" s="126" t="str">
        <f>IF(Tabela3[[#This Row],[Descrição]]="","",VLOOKUP(Tabela3[[#This Row],[Descrição]],Tabela4[[Descrição]:[Tipo Receita/ Gasto]],2,FALSE))</f>
        <v/>
      </c>
      <c r="F598" s="122"/>
      <c r="G598" s="113" t="str">
        <f>IF(Tabela3[[#This Row],[Valor]]="","",G597+F598)</f>
        <v/>
      </c>
      <c r="H598" s="121"/>
      <c r="I598" s="120"/>
    </row>
    <row r="599" spans="1:9" x14ac:dyDescent="0.25">
      <c r="A599" s="4">
        <f>YEAR(Tabela3[[#This Row],[Data]])</f>
        <v>1900</v>
      </c>
      <c r="B599" s="121"/>
      <c r="C599" s="120"/>
      <c r="D599" s="120"/>
      <c r="E599" s="126" t="str">
        <f>IF(Tabela3[[#This Row],[Descrição]]="","",VLOOKUP(Tabela3[[#This Row],[Descrição]],Tabela4[[Descrição]:[Tipo Receita/ Gasto]],2,FALSE))</f>
        <v/>
      </c>
      <c r="F599" s="122"/>
      <c r="G599" s="113" t="str">
        <f>IF(Tabela3[[#This Row],[Valor]]="","",G598+F599)</f>
        <v/>
      </c>
      <c r="H599" s="121"/>
      <c r="I599" s="120"/>
    </row>
    <row r="600" spans="1:9" x14ac:dyDescent="0.25">
      <c r="A600" s="4">
        <f>YEAR(Tabela3[[#This Row],[Data]])</f>
        <v>1900</v>
      </c>
      <c r="B600" s="121"/>
      <c r="C600" s="120"/>
      <c r="D600" s="120"/>
      <c r="E600" s="126" t="str">
        <f>IF(Tabela3[[#This Row],[Descrição]]="","",VLOOKUP(Tabela3[[#This Row],[Descrição]],Tabela4[[Descrição]:[Tipo Receita/ Gasto]],2,FALSE))</f>
        <v/>
      </c>
      <c r="F600" s="122"/>
      <c r="G600" s="113" t="str">
        <f>IF(Tabela3[[#This Row],[Valor]]="","",G599+F600)</f>
        <v/>
      </c>
      <c r="H600" s="121"/>
      <c r="I600" s="120"/>
    </row>
    <row r="601" spans="1:9" x14ac:dyDescent="0.25">
      <c r="A601" s="4">
        <f>YEAR(Tabela3[[#This Row],[Data]])</f>
        <v>1900</v>
      </c>
      <c r="B601" s="121"/>
      <c r="C601" s="120"/>
      <c r="D601" s="120"/>
      <c r="E601" s="126" t="str">
        <f>IF(Tabela3[[#This Row],[Descrição]]="","",VLOOKUP(Tabela3[[#This Row],[Descrição]],Tabela4[[Descrição]:[Tipo Receita/ Gasto]],2,FALSE))</f>
        <v/>
      </c>
      <c r="F601" s="122"/>
      <c r="G601" s="113" t="str">
        <f>IF(Tabela3[[#This Row],[Valor]]="","",G600+F601)</f>
        <v/>
      </c>
      <c r="H601" s="121"/>
      <c r="I601" s="120"/>
    </row>
    <row r="602" spans="1:9" x14ac:dyDescent="0.25">
      <c r="A602" s="4">
        <f>YEAR(Tabela3[[#This Row],[Data]])</f>
        <v>1900</v>
      </c>
      <c r="B602" s="121"/>
      <c r="C602" s="120"/>
      <c r="D602" s="120"/>
      <c r="E602" s="126" t="str">
        <f>IF(Tabela3[[#This Row],[Descrição]]="","",VLOOKUP(Tabela3[[#This Row],[Descrição]],Tabela4[[Descrição]:[Tipo Receita/ Gasto]],2,FALSE))</f>
        <v/>
      </c>
      <c r="F602" s="122"/>
      <c r="G602" s="113" t="str">
        <f>IF(Tabela3[[#This Row],[Valor]]="","",G601+F602)</f>
        <v/>
      </c>
      <c r="H602" s="121"/>
      <c r="I602" s="120"/>
    </row>
    <row r="603" spans="1:9" x14ac:dyDescent="0.25">
      <c r="A603" s="4">
        <f>YEAR(Tabela3[[#This Row],[Data]])</f>
        <v>1900</v>
      </c>
      <c r="B603" s="121"/>
      <c r="C603" s="120"/>
      <c r="D603" s="120"/>
      <c r="E603" s="126" t="str">
        <f>IF(Tabela3[[#This Row],[Descrição]]="","",VLOOKUP(Tabela3[[#This Row],[Descrição]],Tabela4[[Descrição]:[Tipo Receita/ Gasto]],2,FALSE))</f>
        <v/>
      </c>
      <c r="F603" s="122"/>
      <c r="G603" s="113" t="str">
        <f>IF(Tabela3[[#This Row],[Valor]]="","",G602+F603)</f>
        <v/>
      </c>
      <c r="H603" s="121"/>
      <c r="I603" s="120"/>
    </row>
    <row r="604" spans="1:9" x14ac:dyDescent="0.25">
      <c r="A604" s="4">
        <f>YEAR(Tabela3[[#This Row],[Data]])</f>
        <v>1900</v>
      </c>
      <c r="B604" s="121"/>
      <c r="C604" s="120"/>
      <c r="D604" s="120"/>
      <c r="E604" s="126" t="str">
        <f>IF(Tabela3[[#This Row],[Descrição]]="","",VLOOKUP(Tabela3[[#This Row],[Descrição]],Tabela4[[Descrição]:[Tipo Receita/ Gasto]],2,FALSE))</f>
        <v/>
      </c>
      <c r="F604" s="122"/>
      <c r="G604" s="113" t="str">
        <f>IF(Tabela3[[#This Row],[Valor]]="","",G603+F604)</f>
        <v/>
      </c>
      <c r="H604" s="121"/>
      <c r="I604" s="120"/>
    </row>
    <row r="605" spans="1:9" x14ac:dyDescent="0.25">
      <c r="A605" s="4">
        <f>YEAR(Tabela3[[#This Row],[Data]])</f>
        <v>1900</v>
      </c>
      <c r="B605" s="121"/>
      <c r="C605" s="120"/>
      <c r="D605" s="120"/>
      <c r="E605" s="126" t="str">
        <f>IF(Tabela3[[#This Row],[Descrição]]="","",VLOOKUP(Tabela3[[#This Row],[Descrição]],Tabela4[[Descrição]:[Tipo Receita/ Gasto]],2,FALSE))</f>
        <v/>
      </c>
      <c r="F605" s="122"/>
      <c r="G605" s="113" t="str">
        <f>IF(Tabela3[[#This Row],[Valor]]="","",G604+F605)</f>
        <v/>
      </c>
      <c r="H605" s="121"/>
      <c r="I605" s="120"/>
    </row>
    <row r="606" spans="1:9" x14ac:dyDescent="0.25">
      <c r="A606" s="4">
        <f>YEAR(Tabela3[[#This Row],[Data]])</f>
        <v>1900</v>
      </c>
      <c r="B606" s="121"/>
      <c r="C606" s="120"/>
      <c r="D606" s="120"/>
      <c r="E606" s="126" t="str">
        <f>IF(Tabela3[[#This Row],[Descrição]]="","",VLOOKUP(Tabela3[[#This Row],[Descrição]],Tabela4[[Descrição]:[Tipo Receita/ Gasto]],2,FALSE))</f>
        <v/>
      </c>
      <c r="F606" s="122"/>
      <c r="G606" s="113" t="str">
        <f>IF(Tabela3[[#This Row],[Valor]]="","",G605+F606)</f>
        <v/>
      </c>
      <c r="H606" s="121"/>
      <c r="I606" s="120"/>
    </row>
    <row r="607" spans="1:9" x14ac:dyDescent="0.25">
      <c r="A607" s="4">
        <f>YEAR(Tabela3[[#This Row],[Data]])</f>
        <v>1900</v>
      </c>
      <c r="B607" s="121"/>
      <c r="C607" s="120"/>
      <c r="D607" s="120"/>
      <c r="E607" s="126" t="str">
        <f>IF(Tabela3[[#This Row],[Descrição]]="","",VLOOKUP(Tabela3[[#This Row],[Descrição]],Tabela4[[Descrição]:[Tipo Receita/ Gasto]],2,FALSE))</f>
        <v/>
      </c>
      <c r="F607" s="122"/>
      <c r="G607" s="113" t="str">
        <f>IF(Tabela3[[#This Row],[Valor]]="","",G606+F607)</f>
        <v/>
      </c>
      <c r="H607" s="121"/>
      <c r="I607" s="120"/>
    </row>
    <row r="608" spans="1:9" x14ac:dyDescent="0.25">
      <c r="A608" s="4">
        <f>YEAR(Tabela3[[#This Row],[Data]])</f>
        <v>1900</v>
      </c>
      <c r="B608" s="121"/>
      <c r="C608" s="120"/>
      <c r="D608" s="120"/>
      <c r="E608" s="126" t="str">
        <f>IF(Tabela3[[#This Row],[Descrição]]="","",VLOOKUP(Tabela3[[#This Row],[Descrição]],Tabela4[[Descrição]:[Tipo Receita/ Gasto]],2,FALSE))</f>
        <v/>
      </c>
      <c r="F608" s="122"/>
      <c r="G608" s="113" t="str">
        <f>IF(Tabela3[[#This Row],[Valor]]="","",G607+F608)</f>
        <v/>
      </c>
      <c r="H608" s="121"/>
      <c r="I608" s="120"/>
    </row>
    <row r="609" spans="1:9" x14ac:dyDescent="0.25">
      <c r="A609" s="4">
        <f>YEAR(Tabela3[[#This Row],[Data]])</f>
        <v>1900</v>
      </c>
      <c r="B609" s="121"/>
      <c r="C609" s="120"/>
      <c r="D609" s="120"/>
      <c r="E609" s="126" t="str">
        <f>IF(Tabela3[[#This Row],[Descrição]]="","",VLOOKUP(Tabela3[[#This Row],[Descrição]],Tabela4[[Descrição]:[Tipo Receita/ Gasto]],2,FALSE))</f>
        <v/>
      </c>
      <c r="F609" s="122"/>
      <c r="G609" s="113" t="str">
        <f>IF(Tabela3[[#This Row],[Valor]]="","",G608+F609)</f>
        <v/>
      </c>
      <c r="H609" s="121"/>
      <c r="I609" s="120"/>
    </row>
    <row r="610" spans="1:9" x14ac:dyDescent="0.25">
      <c r="A610" s="4">
        <f>YEAR(Tabela3[[#This Row],[Data]])</f>
        <v>1900</v>
      </c>
      <c r="B610" s="121"/>
      <c r="C610" s="120"/>
      <c r="D610" s="120"/>
      <c r="E610" s="126" t="str">
        <f>IF(Tabela3[[#This Row],[Descrição]]="","",VLOOKUP(Tabela3[[#This Row],[Descrição]],Tabela4[[Descrição]:[Tipo Receita/ Gasto]],2,FALSE))</f>
        <v/>
      </c>
      <c r="F610" s="122"/>
      <c r="G610" s="113" t="str">
        <f>IF(Tabela3[[#This Row],[Valor]]="","",G609+F610)</f>
        <v/>
      </c>
      <c r="H610" s="121"/>
      <c r="I610" s="120"/>
    </row>
    <row r="611" spans="1:9" x14ac:dyDescent="0.25">
      <c r="A611" s="4">
        <f>YEAR(Tabela3[[#This Row],[Data]])</f>
        <v>1900</v>
      </c>
      <c r="B611" s="121"/>
      <c r="C611" s="120"/>
      <c r="D611" s="120"/>
      <c r="E611" s="126" t="str">
        <f>IF(Tabela3[[#This Row],[Descrição]]="","",VLOOKUP(Tabela3[[#This Row],[Descrição]],Tabela4[[Descrição]:[Tipo Receita/ Gasto]],2,FALSE))</f>
        <v/>
      </c>
      <c r="F611" s="122"/>
      <c r="G611" s="113" t="str">
        <f>IF(Tabela3[[#This Row],[Valor]]="","",G610+F611)</f>
        <v/>
      </c>
      <c r="H611" s="121"/>
      <c r="I611" s="120"/>
    </row>
    <row r="612" spans="1:9" x14ac:dyDescent="0.25">
      <c r="A612" s="4">
        <f>YEAR(Tabela3[[#This Row],[Data]])</f>
        <v>1900</v>
      </c>
      <c r="B612" s="121"/>
      <c r="C612" s="120"/>
      <c r="D612" s="120"/>
      <c r="E612" s="126" t="str">
        <f>IF(Tabela3[[#This Row],[Descrição]]="","",VLOOKUP(Tabela3[[#This Row],[Descrição]],Tabela4[[Descrição]:[Tipo Receita/ Gasto]],2,FALSE))</f>
        <v/>
      </c>
      <c r="F612" s="122"/>
      <c r="G612" s="113" t="str">
        <f>IF(Tabela3[[#This Row],[Valor]]="","",G611+F612)</f>
        <v/>
      </c>
      <c r="H612" s="121"/>
      <c r="I612" s="120"/>
    </row>
    <row r="613" spans="1:9" x14ac:dyDescent="0.25">
      <c r="A613" s="4">
        <f>YEAR(Tabela3[[#This Row],[Data]])</f>
        <v>1900</v>
      </c>
      <c r="B613" s="121"/>
      <c r="C613" s="120"/>
      <c r="D613" s="120"/>
      <c r="E613" s="126" t="str">
        <f>IF(Tabela3[[#This Row],[Descrição]]="","",VLOOKUP(Tabela3[[#This Row],[Descrição]],Tabela4[[Descrição]:[Tipo Receita/ Gasto]],2,FALSE))</f>
        <v/>
      </c>
      <c r="F613" s="122"/>
      <c r="G613" s="113" t="str">
        <f>IF(Tabela3[[#This Row],[Valor]]="","",G612+F613)</f>
        <v/>
      </c>
      <c r="H613" s="121"/>
      <c r="I613" s="120"/>
    </row>
    <row r="614" spans="1:9" x14ac:dyDescent="0.25">
      <c r="A614" s="4">
        <f>YEAR(Tabela3[[#This Row],[Data]])</f>
        <v>1900</v>
      </c>
      <c r="B614" s="121"/>
      <c r="C614" s="120"/>
      <c r="D614" s="120"/>
      <c r="E614" s="126" t="str">
        <f>IF(Tabela3[[#This Row],[Descrição]]="","",VLOOKUP(Tabela3[[#This Row],[Descrição]],Tabela4[[Descrição]:[Tipo Receita/ Gasto]],2,FALSE))</f>
        <v/>
      </c>
      <c r="F614" s="122"/>
      <c r="G614" s="113" t="str">
        <f>IF(Tabela3[[#This Row],[Valor]]="","",G613+F614)</f>
        <v/>
      </c>
      <c r="H614" s="121"/>
      <c r="I614" s="120"/>
    </row>
    <row r="615" spans="1:9" x14ac:dyDescent="0.25">
      <c r="A615" s="4">
        <f>YEAR(Tabela3[[#This Row],[Data]])</f>
        <v>1900</v>
      </c>
      <c r="B615" s="121"/>
      <c r="C615" s="120"/>
      <c r="D615" s="120"/>
      <c r="E615" s="126" t="str">
        <f>IF(Tabela3[[#This Row],[Descrição]]="","",VLOOKUP(Tabela3[[#This Row],[Descrição]],Tabela4[[Descrição]:[Tipo Receita/ Gasto]],2,FALSE))</f>
        <v/>
      </c>
      <c r="F615" s="122"/>
      <c r="G615" s="113" t="str">
        <f>IF(Tabela3[[#This Row],[Valor]]="","",G614+F615)</f>
        <v/>
      </c>
      <c r="H615" s="121"/>
      <c r="I615" s="120"/>
    </row>
    <row r="616" spans="1:9" x14ac:dyDescent="0.25">
      <c r="A616" s="4">
        <f>YEAR(Tabela3[[#This Row],[Data]])</f>
        <v>1900</v>
      </c>
      <c r="B616" s="121"/>
      <c r="C616" s="120"/>
      <c r="D616" s="120"/>
      <c r="E616" s="126" t="str">
        <f>IF(Tabela3[[#This Row],[Descrição]]="","",VLOOKUP(Tabela3[[#This Row],[Descrição]],Tabela4[[Descrição]:[Tipo Receita/ Gasto]],2,FALSE))</f>
        <v/>
      </c>
      <c r="F616" s="122"/>
      <c r="G616" s="113" t="str">
        <f>IF(Tabela3[[#This Row],[Valor]]="","",G615+F616)</f>
        <v/>
      </c>
      <c r="H616" s="121"/>
      <c r="I616" s="120"/>
    </row>
    <row r="617" spans="1:9" x14ac:dyDescent="0.25">
      <c r="A617" s="4">
        <f>YEAR(Tabela3[[#This Row],[Data]])</f>
        <v>1900</v>
      </c>
      <c r="B617" s="121"/>
      <c r="C617" s="120"/>
      <c r="D617" s="120"/>
      <c r="E617" s="126" t="str">
        <f>IF(Tabela3[[#This Row],[Descrição]]="","",VLOOKUP(Tabela3[[#This Row],[Descrição]],Tabela4[[Descrição]:[Tipo Receita/ Gasto]],2,FALSE))</f>
        <v/>
      </c>
      <c r="F617" s="122"/>
      <c r="G617" s="113" t="str">
        <f>IF(Tabela3[[#This Row],[Valor]]="","",G616+F617)</f>
        <v/>
      </c>
      <c r="H617" s="121"/>
      <c r="I617" s="120"/>
    </row>
    <row r="618" spans="1:9" x14ac:dyDescent="0.25">
      <c r="A618" s="4">
        <f>YEAR(Tabela3[[#This Row],[Data]])</f>
        <v>1900</v>
      </c>
      <c r="B618" s="121"/>
      <c r="C618" s="120"/>
      <c r="D618" s="120"/>
      <c r="E618" s="126" t="str">
        <f>IF(Tabela3[[#This Row],[Descrição]]="","",VLOOKUP(Tabela3[[#This Row],[Descrição]],Tabela4[[Descrição]:[Tipo Receita/ Gasto]],2,FALSE))</f>
        <v/>
      </c>
      <c r="F618" s="122"/>
      <c r="G618" s="113" t="str">
        <f>IF(Tabela3[[#This Row],[Valor]]="","",G617+F618)</f>
        <v/>
      </c>
      <c r="H618" s="121"/>
      <c r="I618" s="120"/>
    </row>
    <row r="619" spans="1:9" x14ac:dyDescent="0.25">
      <c r="A619" s="4">
        <f>YEAR(Tabela3[[#This Row],[Data]])</f>
        <v>1900</v>
      </c>
      <c r="B619" s="121"/>
      <c r="C619" s="120"/>
      <c r="D619" s="120"/>
      <c r="E619" s="126" t="str">
        <f>IF(Tabela3[[#This Row],[Descrição]]="","",VLOOKUP(Tabela3[[#This Row],[Descrição]],Tabela4[[Descrição]:[Tipo Receita/ Gasto]],2,FALSE))</f>
        <v/>
      </c>
      <c r="F619" s="122"/>
      <c r="G619" s="113" t="str">
        <f>IF(Tabela3[[#This Row],[Valor]]="","",G618+F619)</f>
        <v/>
      </c>
      <c r="H619" s="121"/>
      <c r="I619" s="120"/>
    </row>
    <row r="620" spans="1:9" x14ac:dyDescent="0.25">
      <c r="A620" s="4">
        <f>YEAR(Tabela3[[#This Row],[Data]])</f>
        <v>1900</v>
      </c>
      <c r="B620" s="121"/>
      <c r="C620" s="120"/>
      <c r="D620" s="120"/>
      <c r="E620" s="126" t="str">
        <f>IF(Tabela3[[#This Row],[Descrição]]="","",VLOOKUP(Tabela3[[#This Row],[Descrição]],Tabela4[[Descrição]:[Tipo Receita/ Gasto]],2,FALSE))</f>
        <v/>
      </c>
      <c r="F620" s="122"/>
      <c r="G620" s="113" t="str">
        <f>IF(Tabela3[[#This Row],[Valor]]="","",G619+F620)</f>
        <v/>
      </c>
      <c r="H620" s="121"/>
      <c r="I620" s="120"/>
    </row>
    <row r="621" spans="1:9" x14ac:dyDescent="0.25">
      <c r="A621" s="4">
        <f>YEAR(Tabela3[[#This Row],[Data]])</f>
        <v>1900</v>
      </c>
      <c r="B621" s="121"/>
      <c r="C621" s="120"/>
      <c r="D621" s="120"/>
      <c r="E621" s="126" t="str">
        <f>IF(Tabela3[[#This Row],[Descrição]]="","",VLOOKUP(Tabela3[[#This Row],[Descrição]],Tabela4[[Descrição]:[Tipo Receita/ Gasto]],2,FALSE))</f>
        <v/>
      </c>
      <c r="F621" s="122"/>
      <c r="G621" s="113" t="str">
        <f>IF(Tabela3[[#This Row],[Valor]]="","",G620+F621)</f>
        <v/>
      </c>
      <c r="H621" s="121"/>
      <c r="I621" s="120"/>
    </row>
    <row r="622" spans="1:9" x14ac:dyDescent="0.25">
      <c r="A622" s="4">
        <f>YEAR(Tabela3[[#This Row],[Data]])</f>
        <v>1900</v>
      </c>
      <c r="B622" s="121"/>
      <c r="C622" s="120"/>
      <c r="D622" s="120"/>
      <c r="E622" s="126" t="str">
        <f>IF(Tabela3[[#This Row],[Descrição]]="","",VLOOKUP(Tabela3[[#This Row],[Descrição]],Tabela4[[Descrição]:[Tipo Receita/ Gasto]],2,FALSE))</f>
        <v/>
      </c>
      <c r="F622" s="122"/>
      <c r="G622" s="113" t="str">
        <f>IF(Tabela3[[#This Row],[Valor]]="","",G621+F622)</f>
        <v/>
      </c>
      <c r="H622" s="121"/>
      <c r="I622" s="120"/>
    </row>
    <row r="623" spans="1:9" x14ac:dyDescent="0.25">
      <c r="A623" s="4">
        <f>YEAR(Tabela3[[#This Row],[Data]])</f>
        <v>1900</v>
      </c>
      <c r="B623" s="121"/>
      <c r="C623" s="120"/>
      <c r="D623" s="120"/>
      <c r="E623" s="126" t="str">
        <f>IF(Tabela3[[#This Row],[Descrição]]="","",VLOOKUP(Tabela3[[#This Row],[Descrição]],Tabela4[[Descrição]:[Tipo Receita/ Gasto]],2,FALSE))</f>
        <v/>
      </c>
      <c r="F623" s="122"/>
      <c r="G623" s="113" t="str">
        <f>IF(Tabela3[[#This Row],[Valor]]="","",G622+F623)</f>
        <v/>
      </c>
      <c r="H623" s="121"/>
      <c r="I623" s="120"/>
    </row>
    <row r="624" spans="1:9" x14ac:dyDescent="0.25">
      <c r="A624" s="4">
        <f>YEAR(Tabela3[[#This Row],[Data]])</f>
        <v>1900</v>
      </c>
      <c r="B624" s="121"/>
      <c r="C624" s="120"/>
      <c r="D624" s="120"/>
      <c r="E624" s="126" t="str">
        <f>IF(Tabela3[[#This Row],[Descrição]]="","",VLOOKUP(Tabela3[[#This Row],[Descrição]],Tabela4[[Descrição]:[Tipo Receita/ Gasto]],2,FALSE))</f>
        <v/>
      </c>
      <c r="F624" s="122"/>
      <c r="G624" s="113" t="str">
        <f>IF(Tabela3[[#This Row],[Valor]]="","",G623+F624)</f>
        <v/>
      </c>
      <c r="H624" s="121"/>
      <c r="I624" s="120"/>
    </row>
    <row r="625" spans="1:9" x14ac:dyDescent="0.25">
      <c r="A625" s="4">
        <f>YEAR(Tabela3[[#This Row],[Data]])</f>
        <v>1900</v>
      </c>
      <c r="B625" s="121"/>
      <c r="C625" s="120"/>
      <c r="D625" s="120"/>
      <c r="E625" s="126" t="str">
        <f>IF(Tabela3[[#This Row],[Descrição]]="","",VLOOKUP(Tabela3[[#This Row],[Descrição]],Tabela4[[Descrição]:[Tipo Receita/ Gasto]],2,FALSE))</f>
        <v/>
      </c>
      <c r="F625" s="122"/>
      <c r="G625" s="113" t="str">
        <f>IF(Tabela3[[#This Row],[Valor]]="","",G624+F625)</f>
        <v/>
      </c>
      <c r="H625" s="121"/>
      <c r="I625" s="120"/>
    </row>
    <row r="626" spans="1:9" x14ac:dyDescent="0.25">
      <c r="A626" s="4">
        <f>YEAR(Tabela3[[#This Row],[Data]])</f>
        <v>1900</v>
      </c>
      <c r="B626" s="121"/>
      <c r="C626" s="120"/>
      <c r="D626" s="120"/>
      <c r="E626" s="126" t="str">
        <f>IF(Tabela3[[#This Row],[Descrição]]="","",VLOOKUP(Tabela3[[#This Row],[Descrição]],Tabela4[[Descrição]:[Tipo Receita/ Gasto]],2,FALSE))</f>
        <v/>
      </c>
      <c r="F626" s="122"/>
      <c r="G626" s="113" t="str">
        <f>IF(Tabela3[[#This Row],[Valor]]="","",G625+F626)</f>
        <v/>
      </c>
      <c r="H626" s="121"/>
      <c r="I626" s="120"/>
    </row>
    <row r="627" spans="1:9" x14ac:dyDescent="0.25">
      <c r="A627" s="4">
        <f>YEAR(Tabela3[[#This Row],[Data]])</f>
        <v>1900</v>
      </c>
      <c r="B627" s="121"/>
      <c r="C627" s="120"/>
      <c r="D627" s="120"/>
      <c r="E627" s="126" t="str">
        <f>IF(Tabela3[[#This Row],[Descrição]]="","",VLOOKUP(Tabela3[[#This Row],[Descrição]],Tabela4[[Descrição]:[Tipo Receita/ Gasto]],2,FALSE))</f>
        <v/>
      </c>
      <c r="F627" s="122"/>
      <c r="G627" s="113" t="str">
        <f>IF(Tabela3[[#This Row],[Valor]]="","",G626+F627)</f>
        <v/>
      </c>
      <c r="H627" s="121"/>
      <c r="I627" s="120"/>
    </row>
    <row r="628" spans="1:9" x14ac:dyDescent="0.25">
      <c r="A628" s="4">
        <f>YEAR(Tabela3[[#This Row],[Data]])</f>
        <v>1900</v>
      </c>
      <c r="B628" s="121"/>
      <c r="C628" s="120"/>
      <c r="D628" s="120"/>
      <c r="E628" s="126" t="str">
        <f>IF(Tabela3[[#This Row],[Descrição]]="","",VLOOKUP(Tabela3[[#This Row],[Descrição]],Tabela4[[Descrição]:[Tipo Receita/ Gasto]],2,FALSE))</f>
        <v/>
      </c>
      <c r="F628" s="122"/>
      <c r="G628" s="113" t="str">
        <f>IF(Tabela3[[#This Row],[Valor]]="","",G627+F628)</f>
        <v/>
      </c>
      <c r="H628" s="121"/>
      <c r="I628" s="120"/>
    </row>
    <row r="629" spans="1:9" x14ac:dyDescent="0.25">
      <c r="A629" s="4">
        <f>YEAR(Tabela3[[#This Row],[Data]])</f>
        <v>1900</v>
      </c>
      <c r="B629" s="121"/>
      <c r="C629" s="120"/>
      <c r="D629" s="120"/>
      <c r="E629" s="126" t="str">
        <f>IF(Tabela3[[#This Row],[Descrição]]="","",VLOOKUP(Tabela3[[#This Row],[Descrição]],Tabela4[[Descrição]:[Tipo Receita/ Gasto]],2,FALSE))</f>
        <v/>
      </c>
      <c r="F629" s="122"/>
      <c r="G629" s="113" t="str">
        <f>IF(Tabela3[[#This Row],[Valor]]="","",G628+F629)</f>
        <v/>
      </c>
      <c r="H629" s="121"/>
      <c r="I629" s="120"/>
    </row>
    <row r="630" spans="1:9" x14ac:dyDescent="0.25">
      <c r="A630" s="4">
        <f>YEAR(Tabela3[[#This Row],[Data]])</f>
        <v>1900</v>
      </c>
      <c r="B630" s="121"/>
      <c r="C630" s="120"/>
      <c r="D630" s="120"/>
      <c r="E630" s="126" t="str">
        <f>IF(Tabela3[[#This Row],[Descrição]]="","",VLOOKUP(Tabela3[[#This Row],[Descrição]],Tabela4[[Descrição]:[Tipo Receita/ Gasto]],2,FALSE))</f>
        <v/>
      </c>
      <c r="F630" s="122"/>
      <c r="G630" s="113" t="str">
        <f>IF(Tabela3[[#This Row],[Valor]]="","",G629+F630)</f>
        <v/>
      </c>
      <c r="H630" s="121"/>
      <c r="I630" s="120"/>
    </row>
    <row r="631" spans="1:9" x14ac:dyDescent="0.25">
      <c r="A631" s="4">
        <f>YEAR(Tabela3[[#This Row],[Data]])</f>
        <v>1900</v>
      </c>
      <c r="B631" s="121"/>
      <c r="C631" s="120"/>
      <c r="D631" s="120"/>
      <c r="E631" s="126" t="str">
        <f>IF(Tabela3[[#This Row],[Descrição]]="","",VLOOKUP(Tabela3[[#This Row],[Descrição]],Tabela4[[Descrição]:[Tipo Receita/ Gasto]],2,FALSE))</f>
        <v/>
      </c>
      <c r="F631" s="122"/>
      <c r="G631" s="113" t="str">
        <f>IF(Tabela3[[#This Row],[Valor]]="","",G630+F631)</f>
        <v/>
      </c>
      <c r="H631" s="121"/>
      <c r="I631" s="120"/>
    </row>
    <row r="632" spans="1:9" x14ac:dyDescent="0.25">
      <c r="A632" s="4">
        <f>YEAR(Tabela3[[#This Row],[Data]])</f>
        <v>1900</v>
      </c>
      <c r="B632" s="121"/>
      <c r="C632" s="120"/>
      <c r="D632" s="120"/>
      <c r="E632" s="126" t="str">
        <f>IF(Tabela3[[#This Row],[Descrição]]="","",VLOOKUP(Tabela3[[#This Row],[Descrição]],Tabela4[[Descrição]:[Tipo Receita/ Gasto]],2,FALSE))</f>
        <v/>
      </c>
      <c r="F632" s="122"/>
      <c r="G632" s="113" t="str">
        <f>IF(Tabela3[[#This Row],[Valor]]="","",G631+F632)</f>
        <v/>
      </c>
      <c r="H632" s="121"/>
      <c r="I632" s="120"/>
    </row>
    <row r="633" spans="1:9" x14ac:dyDescent="0.25">
      <c r="A633" s="4">
        <f>YEAR(Tabela3[[#This Row],[Data]])</f>
        <v>1900</v>
      </c>
      <c r="B633" s="121"/>
      <c r="C633" s="120"/>
      <c r="D633" s="120"/>
      <c r="E633" s="126" t="str">
        <f>IF(Tabela3[[#This Row],[Descrição]]="","",VLOOKUP(Tabela3[[#This Row],[Descrição]],Tabela4[[Descrição]:[Tipo Receita/ Gasto]],2,FALSE))</f>
        <v/>
      </c>
      <c r="F633" s="122"/>
      <c r="G633" s="113" t="str">
        <f>IF(Tabela3[[#This Row],[Valor]]="","",G632+F633)</f>
        <v/>
      </c>
      <c r="H633" s="121"/>
      <c r="I633" s="120"/>
    </row>
    <row r="634" spans="1:9" x14ac:dyDescent="0.25">
      <c r="A634" s="4">
        <f>YEAR(Tabela3[[#This Row],[Data]])</f>
        <v>1900</v>
      </c>
      <c r="B634" s="121"/>
      <c r="C634" s="120"/>
      <c r="D634" s="120"/>
      <c r="E634" s="126" t="str">
        <f>IF(Tabela3[[#This Row],[Descrição]]="","",VLOOKUP(Tabela3[[#This Row],[Descrição]],Tabela4[[Descrição]:[Tipo Receita/ Gasto]],2,FALSE))</f>
        <v/>
      </c>
      <c r="F634" s="122"/>
      <c r="G634" s="113" t="str">
        <f>IF(Tabela3[[#This Row],[Valor]]="","",G633+F634)</f>
        <v/>
      </c>
      <c r="H634" s="121"/>
      <c r="I634" s="120"/>
    </row>
    <row r="635" spans="1:9" x14ac:dyDescent="0.25">
      <c r="A635" s="4">
        <f>YEAR(Tabela3[[#This Row],[Data]])</f>
        <v>1900</v>
      </c>
      <c r="B635" s="121"/>
      <c r="C635" s="120"/>
      <c r="D635" s="120"/>
      <c r="E635" s="126" t="str">
        <f>IF(Tabela3[[#This Row],[Descrição]]="","",VLOOKUP(Tabela3[[#This Row],[Descrição]],Tabela4[[Descrição]:[Tipo Receita/ Gasto]],2,FALSE))</f>
        <v/>
      </c>
      <c r="F635" s="122"/>
      <c r="G635" s="113" t="str">
        <f>IF(Tabela3[[#This Row],[Valor]]="","",G634+F635)</f>
        <v/>
      </c>
      <c r="H635" s="121"/>
      <c r="I635" s="120"/>
    </row>
    <row r="636" spans="1:9" x14ac:dyDescent="0.25">
      <c r="A636" s="4">
        <f>YEAR(Tabela3[[#This Row],[Data]])</f>
        <v>1900</v>
      </c>
      <c r="B636" s="121"/>
      <c r="C636" s="120"/>
      <c r="D636" s="120"/>
      <c r="E636" s="126" t="str">
        <f>IF(Tabela3[[#This Row],[Descrição]]="","",VLOOKUP(Tabela3[[#This Row],[Descrição]],Tabela4[[Descrição]:[Tipo Receita/ Gasto]],2,FALSE))</f>
        <v/>
      </c>
      <c r="F636" s="122"/>
      <c r="G636" s="113" t="str">
        <f>IF(Tabela3[[#This Row],[Valor]]="","",G635+F636)</f>
        <v/>
      </c>
      <c r="H636" s="121"/>
      <c r="I636" s="120"/>
    </row>
    <row r="637" spans="1:9" x14ac:dyDescent="0.25">
      <c r="A637" s="4">
        <f>YEAR(Tabela3[[#This Row],[Data]])</f>
        <v>1900</v>
      </c>
      <c r="B637" s="121"/>
      <c r="C637" s="120"/>
      <c r="D637" s="120"/>
      <c r="E637" s="126" t="str">
        <f>IF(Tabela3[[#This Row],[Descrição]]="","",VLOOKUP(Tabela3[[#This Row],[Descrição]],Tabela4[[Descrição]:[Tipo Receita/ Gasto]],2,FALSE))</f>
        <v/>
      </c>
      <c r="F637" s="122"/>
      <c r="G637" s="113" t="str">
        <f>IF(Tabela3[[#This Row],[Valor]]="","",G636+F637)</f>
        <v/>
      </c>
      <c r="H637" s="121"/>
      <c r="I637" s="120"/>
    </row>
    <row r="638" spans="1:9" x14ac:dyDescent="0.25">
      <c r="A638" s="4">
        <f>YEAR(Tabela3[[#This Row],[Data]])</f>
        <v>1900</v>
      </c>
      <c r="B638" s="121"/>
      <c r="C638" s="120"/>
      <c r="D638" s="120"/>
      <c r="E638" s="126" t="str">
        <f>IF(Tabela3[[#This Row],[Descrição]]="","",VLOOKUP(Tabela3[[#This Row],[Descrição]],Tabela4[[Descrição]:[Tipo Receita/ Gasto]],2,FALSE))</f>
        <v/>
      </c>
      <c r="F638" s="122"/>
      <c r="G638" s="113" t="str">
        <f>IF(Tabela3[[#This Row],[Valor]]="","",G637+F638)</f>
        <v/>
      </c>
      <c r="H638" s="121"/>
      <c r="I638" s="120"/>
    </row>
    <row r="639" spans="1:9" x14ac:dyDescent="0.25">
      <c r="A639" s="4">
        <f>YEAR(Tabela3[[#This Row],[Data]])</f>
        <v>1900</v>
      </c>
      <c r="B639" s="121"/>
      <c r="C639" s="120"/>
      <c r="D639" s="120"/>
      <c r="E639" s="126" t="str">
        <f>IF(Tabela3[[#This Row],[Descrição]]="","",VLOOKUP(Tabela3[[#This Row],[Descrição]],Tabela4[[Descrição]:[Tipo Receita/ Gasto]],2,FALSE))</f>
        <v/>
      </c>
      <c r="F639" s="122"/>
      <c r="G639" s="113" t="str">
        <f>IF(Tabela3[[#This Row],[Valor]]="","",G638+F639)</f>
        <v/>
      </c>
      <c r="H639" s="121"/>
      <c r="I639" s="120"/>
    </row>
    <row r="640" spans="1:9" x14ac:dyDescent="0.25">
      <c r="A640" s="4">
        <f>YEAR(Tabela3[[#This Row],[Data]])</f>
        <v>1900</v>
      </c>
      <c r="B640" s="121"/>
      <c r="C640" s="120"/>
      <c r="D640" s="120"/>
      <c r="E640" s="126" t="str">
        <f>IF(Tabela3[[#This Row],[Descrição]]="","",VLOOKUP(Tabela3[[#This Row],[Descrição]],Tabela4[[Descrição]:[Tipo Receita/ Gasto]],2,FALSE))</f>
        <v/>
      </c>
      <c r="F640" s="122"/>
      <c r="G640" s="113" t="str">
        <f>IF(Tabela3[[#This Row],[Valor]]="","",G639+F640)</f>
        <v/>
      </c>
      <c r="H640" s="121"/>
      <c r="I640" s="120"/>
    </row>
    <row r="641" spans="1:9" x14ac:dyDescent="0.25">
      <c r="A641" s="4">
        <f>YEAR(Tabela3[[#This Row],[Data]])</f>
        <v>1900</v>
      </c>
      <c r="B641" s="121"/>
      <c r="C641" s="120"/>
      <c r="D641" s="120"/>
      <c r="E641" s="126" t="str">
        <f>IF(Tabela3[[#This Row],[Descrição]]="","",VLOOKUP(Tabela3[[#This Row],[Descrição]],Tabela4[[Descrição]:[Tipo Receita/ Gasto]],2,FALSE))</f>
        <v/>
      </c>
      <c r="F641" s="122"/>
      <c r="G641" s="113" t="str">
        <f>IF(Tabela3[[#This Row],[Valor]]="","",G640+F641)</f>
        <v/>
      </c>
      <c r="H641" s="121"/>
      <c r="I641" s="120"/>
    </row>
    <row r="642" spans="1:9" x14ac:dyDescent="0.25">
      <c r="A642" s="4">
        <f>YEAR(Tabela3[[#This Row],[Data]])</f>
        <v>1900</v>
      </c>
      <c r="B642" s="121"/>
      <c r="C642" s="120"/>
      <c r="D642" s="120"/>
      <c r="E642" s="126" t="str">
        <f>IF(Tabela3[[#This Row],[Descrição]]="","",VLOOKUP(Tabela3[[#This Row],[Descrição]],Tabela4[[Descrição]:[Tipo Receita/ Gasto]],2,FALSE))</f>
        <v/>
      </c>
      <c r="F642" s="122"/>
      <c r="G642" s="113" t="str">
        <f>IF(Tabela3[[#This Row],[Valor]]="","",G641+F642)</f>
        <v/>
      </c>
      <c r="H642" s="121"/>
      <c r="I642" s="120"/>
    </row>
    <row r="643" spans="1:9" x14ac:dyDescent="0.25">
      <c r="A643" s="4">
        <f>YEAR(Tabela3[[#This Row],[Data]])</f>
        <v>1900</v>
      </c>
      <c r="B643" s="121"/>
      <c r="C643" s="120"/>
      <c r="D643" s="120"/>
      <c r="E643" s="126" t="str">
        <f>IF(Tabela3[[#This Row],[Descrição]]="","",VLOOKUP(Tabela3[[#This Row],[Descrição]],Tabela4[[Descrição]:[Tipo Receita/ Gasto]],2,FALSE))</f>
        <v/>
      </c>
      <c r="F643" s="122"/>
      <c r="G643" s="113" t="str">
        <f>IF(Tabela3[[#This Row],[Valor]]="","",G642+F643)</f>
        <v/>
      </c>
      <c r="H643" s="121"/>
      <c r="I643" s="120"/>
    </row>
    <row r="644" spans="1:9" x14ac:dyDescent="0.25">
      <c r="A644" s="4">
        <f>YEAR(Tabela3[[#This Row],[Data]])</f>
        <v>1900</v>
      </c>
      <c r="B644" s="121"/>
      <c r="C644" s="120"/>
      <c r="D644" s="120"/>
      <c r="E644" s="126" t="str">
        <f>IF(Tabela3[[#This Row],[Descrição]]="","",VLOOKUP(Tabela3[[#This Row],[Descrição]],Tabela4[[Descrição]:[Tipo Receita/ Gasto]],2,FALSE))</f>
        <v/>
      </c>
      <c r="F644" s="122"/>
      <c r="G644" s="113" t="str">
        <f>IF(Tabela3[[#This Row],[Valor]]="","",G643+F644)</f>
        <v/>
      </c>
      <c r="H644" s="121"/>
      <c r="I644" s="120"/>
    </row>
    <row r="645" spans="1:9" x14ac:dyDescent="0.25">
      <c r="A645" s="4">
        <f>YEAR(Tabela3[[#This Row],[Data]])</f>
        <v>1900</v>
      </c>
      <c r="B645" s="121"/>
      <c r="C645" s="120"/>
      <c r="D645" s="120"/>
      <c r="E645" s="126" t="str">
        <f>IF(Tabela3[[#This Row],[Descrição]]="","",VLOOKUP(Tabela3[[#This Row],[Descrição]],Tabela4[[Descrição]:[Tipo Receita/ Gasto]],2,FALSE))</f>
        <v/>
      </c>
      <c r="F645" s="122"/>
      <c r="G645" s="113" t="str">
        <f>IF(Tabela3[[#This Row],[Valor]]="","",G644+F645)</f>
        <v/>
      </c>
      <c r="H645" s="121"/>
      <c r="I645" s="120"/>
    </row>
    <row r="646" spans="1:9" x14ac:dyDescent="0.25">
      <c r="A646" s="4">
        <f>YEAR(Tabela3[[#This Row],[Data]])</f>
        <v>1900</v>
      </c>
      <c r="B646" s="121"/>
      <c r="C646" s="120"/>
      <c r="D646" s="120"/>
      <c r="E646" s="126" t="str">
        <f>IF(Tabela3[[#This Row],[Descrição]]="","",VLOOKUP(Tabela3[[#This Row],[Descrição]],Tabela4[[Descrição]:[Tipo Receita/ Gasto]],2,FALSE))</f>
        <v/>
      </c>
      <c r="F646" s="122"/>
      <c r="G646" s="113" t="str">
        <f>IF(Tabela3[[#This Row],[Valor]]="","",G645+F646)</f>
        <v/>
      </c>
      <c r="H646" s="121"/>
      <c r="I646" s="120"/>
    </row>
    <row r="647" spans="1:9" x14ac:dyDescent="0.25">
      <c r="A647" s="4">
        <f>YEAR(Tabela3[[#This Row],[Data]])</f>
        <v>1900</v>
      </c>
      <c r="B647" s="121"/>
      <c r="C647" s="120"/>
      <c r="D647" s="120"/>
      <c r="E647" s="126" t="str">
        <f>IF(Tabela3[[#This Row],[Descrição]]="","",VLOOKUP(Tabela3[[#This Row],[Descrição]],Tabela4[[Descrição]:[Tipo Receita/ Gasto]],2,FALSE))</f>
        <v/>
      </c>
      <c r="F647" s="122"/>
      <c r="G647" s="113" t="str">
        <f>IF(Tabela3[[#This Row],[Valor]]="","",G646+F647)</f>
        <v/>
      </c>
      <c r="H647" s="121"/>
      <c r="I647" s="120"/>
    </row>
    <row r="648" spans="1:9" x14ac:dyDescent="0.25">
      <c r="A648" s="4">
        <f>YEAR(Tabela3[[#This Row],[Data]])</f>
        <v>1900</v>
      </c>
      <c r="B648" s="121"/>
      <c r="C648" s="120"/>
      <c r="D648" s="120"/>
      <c r="E648" s="126" t="str">
        <f>IF(Tabela3[[#This Row],[Descrição]]="","",VLOOKUP(Tabela3[[#This Row],[Descrição]],Tabela4[[Descrição]:[Tipo Receita/ Gasto]],2,FALSE))</f>
        <v/>
      </c>
      <c r="F648" s="122"/>
      <c r="G648" s="113" t="str">
        <f>IF(Tabela3[[#This Row],[Valor]]="","",G647+F648)</f>
        <v/>
      </c>
      <c r="H648" s="121"/>
      <c r="I648" s="120"/>
    </row>
    <row r="649" spans="1:9" x14ac:dyDescent="0.25">
      <c r="A649" s="4">
        <f>YEAR(Tabela3[[#This Row],[Data]])</f>
        <v>1900</v>
      </c>
      <c r="B649" s="121"/>
      <c r="C649" s="120"/>
      <c r="D649" s="120"/>
      <c r="E649" s="126" t="str">
        <f>IF(Tabela3[[#This Row],[Descrição]]="","",VLOOKUP(Tabela3[[#This Row],[Descrição]],Tabela4[[Descrição]:[Tipo Receita/ Gasto]],2,FALSE))</f>
        <v/>
      </c>
      <c r="F649" s="122"/>
      <c r="G649" s="113" t="str">
        <f>IF(Tabela3[[#This Row],[Valor]]="","",G648+F649)</f>
        <v/>
      </c>
      <c r="H649" s="121"/>
      <c r="I649" s="120"/>
    </row>
    <row r="650" spans="1:9" x14ac:dyDescent="0.25">
      <c r="A650" s="4">
        <f>YEAR(Tabela3[[#This Row],[Data]])</f>
        <v>1900</v>
      </c>
      <c r="B650" s="121"/>
      <c r="C650" s="120"/>
      <c r="D650" s="120"/>
      <c r="E650" s="126" t="str">
        <f>IF(Tabela3[[#This Row],[Descrição]]="","",VLOOKUP(Tabela3[[#This Row],[Descrição]],Tabela4[[Descrição]:[Tipo Receita/ Gasto]],2,FALSE))</f>
        <v/>
      </c>
      <c r="F650" s="122"/>
      <c r="G650" s="113" t="str">
        <f>IF(Tabela3[[#This Row],[Valor]]="","",G649+F650)</f>
        <v/>
      </c>
      <c r="H650" s="121"/>
      <c r="I650" s="120"/>
    </row>
    <row r="651" spans="1:9" x14ac:dyDescent="0.25">
      <c r="A651" s="4">
        <f>YEAR(Tabela3[[#This Row],[Data]])</f>
        <v>1900</v>
      </c>
      <c r="B651" s="121"/>
      <c r="C651" s="120"/>
      <c r="D651" s="120"/>
      <c r="E651" s="126" t="str">
        <f>IF(Tabela3[[#This Row],[Descrição]]="","",VLOOKUP(Tabela3[[#This Row],[Descrição]],Tabela4[[Descrição]:[Tipo Receita/ Gasto]],2,FALSE))</f>
        <v/>
      </c>
      <c r="F651" s="122"/>
      <c r="G651" s="113" t="str">
        <f>IF(Tabela3[[#This Row],[Valor]]="","",G650+F651)</f>
        <v/>
      </c>
      <c r="H651" s="121"/>
      <c r="I651" s="120"/>
    </row>
    <row r="652" spans="1:9" x14ac:dyDescent="0.25">
      <c r="A652" s="4">
        <f>YEAR(Tabela3[[#This Row],[Data]])</f>
        <v>1900</v>
      </c>
      <c r="B652" s="121"/>
      <c r="C652" s="120"/>
      <c r="D652" s="120"/>
      <c r="E652" s="126" t="str">
        <f>IF(Tabela3[[#This Row],[Descrição]]="","",VLOOKUP(Tabela3[[#This Row],[Descrição]],Tabela4[[Descrição]:[Tipo Receita/ Gasto]],2,FALSE))</f>
        <v/>
      </c>
      <c r="F652" s="122"/>
      <c r="G652" s="113" t="str">
        <f>IF(Tabela3[[#This Row],[Valor]]="","",G651+F652)</f>
        <v/>
      </c>
      <c r="H652" s="121"/>
      <c r="I652" s="120"/>
    </row>
    <row r="653" spans="1:9" x14ac:dyDescent="0.25">
      <c r="A653" s="4">
        <f>YEAR(Tabela3[[#This Row],[Data]])</f>
        <v>1900</v>
      </c>
      <c r="B653" s="121"/>
      <c r="C653" s="120"/>
      <c r="D653" s="120"/>
      <c r="E653" s="126" t="str">
        <f>IF(Tabela3[[#This Row],[Descrição]]="","",VLOOKUP(Tabela3[[#This Row],[Descrição]],Tabela4[[Descrição]:[Tipo Receita/ Gasto]],2,FALSE))</f>
        <v/>
      </c>
      <c r="F653" s="122"/>
      <c r="G653" s="113" t="str">
        <f>IF(Tabela3[[#This Row],[Valor]]="","",G652+F653)</f>
        <v/>
      </c>
      <c r="H653" s="121"/>
      <c r="I653" s="120"/>
    </row>
    <row r="654" spans="1:9" x14ac:dyDescent="0.25">
      <c r="A654" s="4">
        <f>YEAR(Tabela3[[#This Row],[Data]])</f>
        <v>1900</v>
      </c>
      <c r="B654" s="121"/>
      <c r="C654" s="120"/>
      <c r="D654" s="120"/>
      <c r="E654" s="126" t="str">
        <f>IF(Tabela3[[#This Row],[Descrição]]="","",VLOOKUP(Tabela3[[#This Row],[Descrição]],Tabela4[[Descrição]:[Tipo Receita/ Gasto]],2,FALSE))</f>
        <v/>
      </c>
      <c r="F654" s="122"/>
      <c r="G654" s="113" t="str">
        <f>IF(Tabela3[[#This Row],[Valor]]="","",G653+F654)</f>
        <v/>
      </c>
      <c r="H654" s="121"/>
      <c r="I654" s="120"/>
    </row>
    <row r="655" spans="1:9" x14ac:dyDescent="0.25">
      <c r="A655" s="4">
        <f>YEAR(Tabela3[[#This Row],[Data]])</f>
        <v>1900</v>
      </c>
      <c r="B655" s="121"/>
      <c r="C655" s="120"/>
      <c r="D655" s="120"/>
      <c r="E655" s="126" t="str">
        <f>IF(Tabela3[[#This Row],[Descrição]]="","",VLOOKUP(Tabela3[[#This Row],[Descrição]],Tabela4[[Descrição]:[Tipo Receita/ Gasto]],2,FALSE))</f>
        <v/>
      </c>
      <c r="F655" s="122"/>
      <c r="G655" s="113" t="str">
        <f>IF(Tabela3[[#This Row],[Valor]]="","",G654+F655)</f>
        <v/>
      </c>
      <c r="H655" s="121"/>
      <c r="I655" s="120"/>
    </row>
    <row r="656" spans="1:9" x14ac:dyDescent="0.25">
      <c r="A656" s="4">
        <f>YEAR(Tabela3[[#This Row],[Data]])</f>
        <v>1900</v>
      </c>
      <c r="B656" s="121"/>
      <c r="C656" s="120"/>
      <c r="D656" s="120"/>
      <c r="E656" s="126" t="str">
        <f>IF(Tabela3[[#This Row],[Descrição]]="","",VLOOKUP(Tabela3[[#This Row],[Descrição]],Tabela4[[Descrição]:[Tipo Receita/ Gasto]],2,FALSE))</f>
        <v/>
      </c>
      <c r="F656" s="122"/>
      <c r="G656" s="113" t="str">
        <f>IF(Tabela3[[#This Row],[Valor]]="","",G655+F656)</f>
        <v/>
      </c>
      <c r="H656" s="121"/>
      <c r="I656" s="120"/>
    </row>
    <row r="657" spans="1:9" x14ac:dyDescent="0.25">
      <c r="A657" s="4">
        <f>YEAR(Tabela3[[#This Row],[Data]])</f>
        <v>1900</v>
      </c>
      <c r="B657" s="121"/>
      <c r="C657" s="120"/>
      <c r="D657" s="120"/>
      <c r="E657" s="126" t="str">
        <f>IF(Tabela3[[#This Row],[Descrição]]="","",VLOOKUP(Tabela3[[#This Row],[Descrição]],Tabela4[[Descrição]:[Tipo Receita/ Gasto]],2,FALSE))</f>
        <v/>
      </c>
      <c r="F657" s="122"/>
      <c r="G657" s="113" t="str">
        <f>IF(Tabela3[[#This Row],[Valor]]="","",G656+F657)</f>
        <v/>
      </c>
      <c r="H657" s="121"/>
      <c r="I657" s="120"/>
    </row>
    <row r="658" spans="1:9" x14ac:dyDescent="0.25">
      <c r="A658" s="4">
        <f>YEAR(Tabela3[[#This Row],[Data]])</f>
        <v>1900</v>
      </c>
      <c r="B658" s="121"/>
      <c r="C658" s="120"/>
      <c r="D658" s="120"/>
      <c r="E658" s="126" t="str">
        <f>IF(Tabela3[[#This Row],[Descrição]]="","",VLOOKUP(Tabela3[[#This Row],[Descrição]],Tabela4[[Descrição]:[Tipo Receita/ Gasto]],2,FALSE))</f>
        <v/>
      </c>
      <c r="F658" s="122"/>
      <c r="G658" s="113" t="str">
        <f>IF(Tabela3[[#This Row],[Valor]]="","",G657+F658)</f>
        <v/>
      </c>
      <c r="H658" s="121"/>
      <c r="I658" s="120"/>
    </row>
    <row r="659" spans="1:9" x14ac:dyDescent="0.25">
      <c r="A659" s="4">
        <f>YEAR(Tabela3[[#This Row],[Data]])</f>
        <v>1900</v>
      </c>
      <c r="B659" s="121"/>
      <c r="C659" s="120"/>
      <c r="D659" s="120"/>
      <c r="E659" s="126" t="str">
        <f>IF(Tabela3[[#This Row],[Descrição]]="","",VLOOKUP(Tabela3[[#This Row],[Descrição]],Tabela4[[Descrição]:[Tipo Receita/ Gasto]],2,FALSE))</f>
        <v/>
      </c>
      <c r="F659" s="122"/>
      <c r="G659" s="113" t="str">
        <f>IF(Tabela3[[#This Row],[Valor]]="","",G658+F659)</f>
        <v/>
      </c>
      <c r="H659" s="121"/>
      <c r="I659" s="120"/>
    </row>
    <row r="660" spans="1:9" x14ac:dyDescent="0.25">
      <c r="A660" s="4">
        <f>YEAR(Tabela3[[#This Row],[Data]])</f>
        <v>1900</v>
      </c>
      <c r="B660" s="121"/>
      <c r="C660" s="120"/>
      <c r="D660" s="120"/>
      <c r="E660" s="126" t="str">
        <f>IF(Tabela3[[#This Row],[Descrição]]="","",VLOOKUP(Tabela3[[#This Row],[Descrição]],Tabela4[[Descrição]:[Tipo Receita/ Gasto]],2,FALSE))</f>
        <v/>
      </c>
      <c r="F660" s="122"/>
      <c r="G660" s="113" t="str">
        <f>IF(Tabela3[[#This Row],[Valor]]="","",G659+F660)</f>
        <v/>
      </c>
      <c r="H660" s="121"/>
      <c r="I660" s="120"/>
    </row>
    <row r="661" spans="1:9" x14ac:dyDescent="0.25">
      <c r="A661" s="4">
        <f>YEAR(Tabela3[[#This Row],[Data]])</f>
        <v>1900</v>
      </c>
      <c r="B661" s="121"/>
      <c r="C661" s="120"/>
      <c r="D661" s="120"/>
      <c r="E661" s="126" t="str">
        <f>IF(Tabela3[[#This Row],[Descrição]]="","",VLOOKUP(Tabela3[[#This Row],[Descrição]],Tabela4[[Descrição]:[Tipo Receita/ Gasto]],2,FALSE))</f>
        <v/>
      </c>
      <c r="F661" s="122"/>
      <c r="G661" s="113" t="str">
        <f>IF(Tabela3[[#This Row],[Valor]]="","",G660+F661)</f>
        <v/>
      </c>
      <c r="H661" s="121"/>
      <c r="I661" s="120"/>
    </row>
    <row r="662" spans="1:9" x14ac:dyDescent="0.25">
      <c r="A662" s="4">
        <f>YEAR(Tabela3[[#This Row],[Data]])</f>
        <v>1900</v>
      </c>
      <c r="B662" s="121"/>
      <c r="C662" s="120"/>
      <c r="D662" s="120"/>
      <c r="E662" s="126" t="str">
        <f>IF(Tabela3[[#This Row],[Descrição]]="","",VLOOKUP(Tabela3[[#This Row],[Descrição]],Tabela4[[Descrição]:[Tipo Receita/ Gasto]],2,FALSE))</f>
        <v/>
      </c>
      <c r="F662" s="122"/>
      <c r="G662" s="113" t="str">
        <f>IF(Tabela3[[#This Row],[Valor]]="","",G661+F662)</f>
        <v/>
      </c>
      <c r="H662" s="121"/>
      <c r="I662" s="120"/>
    </row>
    <row r="663" spans="1:9" x14ac:dyDescent="0.25">
      <c r="A663" s="4">
        <f>YEAR(Tabela3[[#This Row],[Data]])</f>
        <v>1900</v>
      </c>
      <c r="B663" s="121"/>
      <c r="C663" s="120"/>
      <c r="D663" s="120"/>
      <c r="E663" s="126" t="str">
        <f>IF(Tabela3[[#This Row],[Descrição]]="","",VLOOKUP(Tabela3[[#This Row],[Descrição]],Tabela4[[Descrição]:[Tipo Receita/ Gasto]],2,FALSE))</f>
        <v/>
      </c>
      <c r="F663" s="122"/>
      <c r="G663" s="113" t="str">
        <f>IF(Tabela3[[#This Row],[Valor]]="","",G662+F663)</f>
        <v/>
      </c>
      <c r="H663" s="121"/>
      <c r="I663" s="120"/>
    </row>
    <row r="664" spans="1:9" x14ac:dyDescent="0.25">
      <c r="A664" s="4">
        <f>YEAR(Tabela3[[#This Row],[Data]])</f>
        <v>1900</v>
      </c>
      <c r="B664" s="121"/>
      <c r="C664" s="120"/>
      <c r="D664" s="120"/>
      <c r="E664" s="126" t="str">
        <f>IF(Tabela3[[#This Row],[Descrição]]="","",VLOOKUP(Tabela3[[#This Row],[Descrição]],Tabela4[[Descrição]:[Tipo Receita/ Gasto]],2,FALSE))</f>
        <v/>
      </c>
      <c r="F664" s="122"/>
      <c r="G664" s="113" t="str">
        <f>IF(Tabela3[[#This Row],[Valor]]="","",G663+F664)</f>
        <v/>
      </c>
      <c r="H664" s="121"/>
      <c r="I664" s="120"/>
    </row>
    <row r="665" spans="1:9" x14ac:dyDescent="0.25">
      <c r="A665" s="4">
        <f>YEAR(Tabela3[[#This Row],[Data]])</f>
        <v>1900</v>
      </c>
      <c r="B665" s="121"/>
      <c r="C665" s="120"/>
      <c r="D665" s="120"/>
      <c r="E665" s="126" t="str">
        <f>IF(Tabela3[[#This Row],[Descrição]]="","",VLOOKUP(Tabela3[[#This Row],[Descrição]],Tabela4[[Descrição]:[Tipo Receita/ Gasto]],2,FALSE))</f>
        <v/>
      </c>
      <c r="F665" s="122"/>
      <c r="G665" s="113" t="str">
        <f>IF(Tabela3[[#This Row],[Valor]]="","",G664+F665)</f>
        <v/>
      </c>
      <c r="H665" s="121"/>
      <c r="I665" s="120"/>
    </row>
    <row r="666" spans="1:9" x14ac:dyDescent="0.25">
      <c r="A666" s="4">
        <f>YEAR(Tabela3[[#This Row],[Data]])</f>
        <v>1900</v>
      </c>
      <c r="B666" s="121"/>
      <c r="C666" s="120"/>
      <c r="D666" s="120"/>
      <c r="E666" s="126" t="str">
        <f>IF(Tabela3[[#This Row],[Descrição]]="","",VLOOKUP(Tabela3[[#This Row],[Descrição]],Tabela4[[Descrição]:[Tipo Receita/ Gasto]],2,FALSE))</f>
        <v/>
      </c>
      <c r="F666" s="122"/>
      <c r="G666" s="113" t="str">
        <f>IF(Tabela3[[#This Row],[Valor]]="","",G665+F666)</f>
        <v/>
      </c>
      <c r="H666" s="121"/>
      <c r="I666" s="120"/>
    </row>
    <row r="667" spans="1:9" x14ac:dyDescent="0.25">
      <c r="A667" s="4">
        <f>YEAR(Tabela3[[#This Row],[Data]])</f>
        <v>1900</v>
      </c>
      <c r="B667" s="121"/>
      <c r="C667" s="120"/>
      <c r="D667" s="120"/>
      <c r="E667" s="126" t="str">
        <f>IF(Tabela3[[#This Row],[Descrição]]="","",VLOOKUP(Tabela3[[#This Row],[Descrição]],Tabela4[[Descrição]:[Tipo Receita/ Gasto]],2,FALSE))</f>
        <v/>
      </c>
      <c r="F667" s="122"/>
      <c r="G667" s="113" t="str">
        <f>IF(Tabela3[[#This Row],[Valor]]="","",G666+F667)</f>
        <v/>
      </c>
      <c r="H667" s="121"/>
      <c r="I667" s="120"/>
    </row>
    <row r="668" spans="1:9" x14ac:dyDescent="0.25">
      <c r="A668" s="4">
        <f>YEAR(Tabela3[[#This Row],[Data]])</f>
        <v>1900</v>
      </c>
      <c r="B668" s="121"/>
      <c r="C668" s="120"/>
      <c r="D668" s="120"/>
      <c r="E668" s="126" t="str">
        <f>IF(Tabela3[[#This Row],[Descrição]]="","",VLOOKUP(Tabela3[[#This Row],[Descrição]],Tabela4[[Descrição]:[Tipo Receita/ Gasto]],2,FALSE))</f>
        <v/>
      </c>
      <c r="F668" s="122"/>
      <c r="G668" s="113" t="str">
        <f>IF(Tabela3[[#This Row],[Valor]]="","",G667+F668)</f>
        <v/>
      </c>
      <c r="H668" s="121"/>
      <c r="I668" s="120"/>
    </row>
    <row r="669" spans="1:9" x14ac:dyDescent="0.25">
      <c r="A669" s="4">
        <f>YEAR(Tabela3[[#This Row],[Data]])</f>
        <v>1900</v>
      </c>
      <c r="B669" s="121"/>
      <c r="C669" s="120"/>
      <c r="D669" s="120"/>
      <c r="E669" s="126" t="str">
        <f>IF(Tabela3[[#This Row],[Descrição]]="","",VLOOKUP(Tabela3[[#This Row],[Descrição]],Tabela4[[Descrição]:[Tipo Receita/ Gasto]],2,FALSE))</f>
        <v/>
      </c>
      <c r="F669" s="122"/>
      <c r="G669" s="113" t="str">
        <f>IF(Tabela3[[#This Row],[Valor]]="","",G668+F669)</f>
        <v/>
      </c>
      <c r="H669" s="121"/>
      <c r="I669" s="120"/>
    </row>
    <row r="670" spans="1:9" x14ac:dyDescent="0.25">
      <c r="A670" s="4">
        <f>YEAR(Tabela3[[#This Row],[Data]])</f>
        <v>1900</v>
      </c>
      <c r="B670" s="121"/>
      <c r="C670" s="120"/>
      <c r="D670" s="120"/>
      <c r="E670" s="126" t="str">
        <f>IF(Tabela3[[#This Row],[Descrição]]="","",VLOOKUP(Tabela3[[#This Row],[Descrição]],Tabela4[[Descrição]:[Tipo Receita/ Gasto]],2,FALSE))</f>
        <v/>
      </c>
      <c r="F670" s="122"/>
      <c r="G670" s="113" t="str">
        <f>IF(Tabela3[[#This Row],[Valor]]="","",G669+F670)</f>
        <v/>
      </c>
      <c r="H670" s="121"/>
      <c r="I670" s="120"/>
    </row>
    <row r="671" spans="1:9" x14ac:dyDescent="0.25">
      <c r="A671" s="4">
        <f>YEAR(Tabela3[[#This Row],[Data]])</f>
        <v>1900</v>
      </c>
      <c r="B671" s="121"/>
      <c r="C671" s="120"/>
      <c r="D671" s="120"/>
      <c r="E671" s="126" t="str">
        <f>IF(Tabela3[[#This Row],[Descrição]]="","",VLOOKUP(Tabela3[[#This Row],[Descrição]],Tabela4[[Descrição]:[Tipo Receita/ Gasto]],2,FALSE))</f>
        <v/>
      </c>
      <c r="F671" s="122"/>
      <c r="G671" s="113" t="str">
        <f>IF(Tabela3[[#This Row],[Valor]]="","",G670+F671)</f>
        <v/>
      </c>
      <c r="H671" s="121"/>
      <c r="I671" s="120"/>
    </row>
    <row r="672" spans="1:9" x14ac:dyDescent="0.25">
      <c r="A672" s="4">
        <f>YEAR(Tabela3[[#This Row],[Data]])</f>
        <v>1900</v>
      </c>
      <c r="B672" s="121"/>
      <c r="C672" s="120"/>
      <c r="D672" s="120"/>
      <c r="E672" s="126" t="str">
        <f>IF(Tabela3[[#This Row],[Descrição]]="","",VLOOKUP(Tabela3[[#This Row],[Descrição]],Tabela4[[Descrição]:[Tipo Receita/ Gasto]],2,FALSE))</f>
        <v/>
      </c>
      <c r="F672" s="122"/>
      <c r="G672" s="113" t="str">
        <f>IF(Tabela3[[#This Row],[Valor]]="","",G671+F672)</f>
        <v/>
      </c>
      <c r="H672" s="121"/>
      <c r="I672" s="120"/>
    </row>
    <row r="673" spans="1:9" x14ac:dyDescent="0.25">
      <c r="A673" s="4">
        <f>YEAR(Tabela3[[#This Row],[Data]])</f>
        <v>1900</v>
      </c>
      <c r="B673" s="121"/>
      <c r="C673" s="120"/>
      <c r="D673" s="120"/>
      <c r="E673" s="126" t="str">
        <f>IF(Tabela3[[#This Row],[Descrição]]="","",VLOOKUP(Tabela3[[#This Row],[Descrição]],Tabela4[[Descrição]:[Tipo Receita/ Gasto]],2,FALSE))</f>
        <v/>
      </c>
      <c r="F673" s="122"/>
      <c r="G673" s="113" t="str">
        <f>IF(Tabela3[[#This Row],[Valor]]="","",G672+F673)</f>
        <v/>
      </c>
      <c r="H673" s="121"/>
      <c r="I673" s="120"/>
    </row>
    <row r="674" spans="1:9" x14ac:dyDescent="0.25">
      <c r="A674" s="4">
        <f>YEAR(Tabela3[[#This Row],[Data]])</f>
        <v>1900</v>
      </c>
      <c r="B674" s="121"/>
      <c r="C674" s="120"/>
      <c r="D674" s="120"/>
      <c r="E674" s="126" t="str">
        <f>IF(Tabela3[[#This Row],[Descrição]]="","",VLOOKUP(Tabela3[[#This Row],[Descrição]],Tabela4[[Descrição]:[Tipo Receita/ Gasto]],2,FALSE))</f>
        <v/>
      </c>
      <c r="F674" s="122"/>
      <c r="G674" s="113" t="str">
        <f>IF(Tabela3[[#This Row],[Valor]]="","",G673+F674)</f>
        <v/>
      </c>
      <c r="H674" s="121"/>
      <c r="I674" s="120"/>
    </row>
    <row r="675" spans="1:9" x14ac:dyDescent="0.25">
      <c r="A675" s="4">
        <f>YEAR(Tabela3[[#This Row],[Data]])</f>
        <v>1900</v>
      </c>
      <c r="B675" s="121"/>
      <c r="C675" s="120"/>
      <c r="D675" s="120"/>
      <c r="E675" s="126" t="str">
        <f>IF(Tabela3[[#This Row],[Descrição]]="","",VLOOKUP(Tabela3[[#This Row],[Descrição]],Tabela4[[Descrição]:[Tipo Receita/ Gasto]],2,FALSE))</f>
        <v/>
      </c>
      <c r="F675" s="122"/>
      <c r="G675" s="113" t="str">
        <f>IF(Tabela3[[#This Row],[Valor]]="","",G674+F675)</f>
        <v/>
      </c>
      <c r="H675" s="121"/>
      <c r="I675" s="120"/>
    </row>
    <row r="676" spans="1:9" x14ac:dyDescent="0.25">
      <c r="A676" s="4">
        <f>YEAR(Tabela3[[#This Row],[Data]])</f>
        <v>1900</v>
      </c>
      <c r="B676" s="121"/>
      <c r="C676" s="120"/>
      <c r="D676" s="120"/>
      <c r="E676" s="126" t="str">
        <f>IF(Tabela3[[#This Row],[Descrição]]="","",VLOOKUP(Tabela3[[#This Row],[Descrição]],Tabela4[[Descrição]:[Tipo Receita/ Gasto]],2,FALSE))</f>
        <v/>
      </c>
      <c r="F676" s="122"/>
      <c r="G676" s="113" t="str">
        <f>IF(Tabela3[[#This Row],[Valor]]="","",G675+F676)</f>
        <v/>
      </c>
      <c r="H676" s="121"/>
      <c r="I676" s="120"/>
    </row>
    <row r="677" spans="1:9" x14ac:dyDescent="0.25">
      <c r="A677" s="4">
        <f>YEAR(Tabela3[[#This Row],[Data]])</f>
        <v>1900</v>
      </c>
      <c r="B677" s="121"/>
      <c r="C677" s="120"/>
      <c r="D677" s="120"/>
      <c r="E677" s="126" t="str">
        <f>IF(Tabela3[[#This Row],[Descrição]]="","",VLOOKUP(Tabela3[[#This Row],[Descrição]],Tabela4[[Descrição]:[Tipo Receita/ Gasto]],2,FALSE))</f>
        <v/>
      </c>
      <c r="F677" s="122"/>
      <c r="G677" s="113" t="str">
        <f>IF(Tabela3[[#This Row],[Valor]]="","",G676+F677)</f>
        <v/>
      </c>
      <c r="H677" s="121"/>
      <c r="I677" s="120"/>
    </row>
    <row r="678" spans="1:9" x14ac:dyDescent="0.25">
      <c r="A678" s="4">
        <f>YEAR(Tabela3[[#This Row],[Data]])</f>
        <v>1900</v>
      </c>
      <c r="B678" s="121"/>
      <c r="C678" s="120"/>
      <c r="D678" s="120"/>
      <c r="E678" s="126" t="str">
        <f>IF(Tabela3[[#This Row],[Descrição]]="","",VLOOKUP(Tabela3[[#This Row],[Descrição]],Tabela4[[Descrição]:[Tipo Receita/ Gasto]],2,FALSE))</f>
        <v/>
      </c>
      <c r="F678" s="122"/>
      <c r="G678" s="113" t="str">
        <f>IF(Tabela3[[#This Row],[Valor]]="","",G677+F678)</f>
        <v/>
      </c>
      <c r="H678" s="121"/>
      <c r="I678" s="120"/>
    </row>
    <row r="679" spans="1:9" x14ac:dyDescent="0.25">
      <c r="A679" s="4">
        <f>YEAR(Tabela3[[#This Row],[Data]])</f>
        <v>1900</v>
      </c>
      <c r="B679" s="121"/>
      <c r="C679" s="120"/>
      <c r="D679" s="120"/>
      <c r="E679" s="126" t="str">
        <f>IF(Tabela3[[#This Row],[Descrição]]="","",VLOOKUP(Tabela3[[#This Row],[Descrição]],Tabela4[[Descrição]:[Tipo Receita/ Gasto]],2,FALSE))</f>
        <v/>
      </c>
      <c r="F679" s="122"/>
      <c r="G679" s="113" t="str">
        <f>IF(Tabela3[[#This Row],[Valor]]="","",G678+F679)</f>
        <v/>
      </c>
      <c r="H679" s="121"/>
      <c r="I679" s="120"/>
    </row>
    <row r="680" spans="1:9" x14ac:dyDescent="0.25">
      <c r="A680" s="4">
        <f>YEAR(Tabela3[[#This Row],[Data]])</f>
        <v>1900</v>
      </c>
      <c r="B680" s="121"/>
      <c r="C680" s="120"/>
      <c r="D680" s="120"/>
      <c r="E680" s="126" t="str">
        <f>IF(Tabela3[[#This Row],[Descrição]]="","",VLOOKUP(Tabela3[[#This Row],[Descrição]],Tabela4[[Descrição]:[Tipo Receita/ Gasto]],2,FALSE))</f>
        <v/>
      </c>
      <c r="F680" s="122"/>
      <c r="G680" s="113" t="str">
        <f>IF(Tabela3[[#This Row],[Valor]]="","",G679+F680)</f>
        <v/>
      </c>
      <c r="H680" s="121"/>
      <c r="I680" s="120"/>
    </row>
    <row r="681" spans="1:9" x14ac:dyDescent="0.25">
      <c r="A681" s="4">
        <f>YEAR(Tabela3[[#This Row],[Data]])</f>
        <v>1900</v>
      </c>
      <c r="B681" s="121"/>
      <c r="C681" s="120"/>
      <c r="D681" s="120"/>
      <c r="E681" s="126" t="str">
        <f>IF(Tabela3[[#This Row],[Descrição]]="","",VLOOKUP(Tabela3[[#This Row],[Descrição]],Tabela4[[Descrição]:[Tipo Receita/ Gasto]],2,FALSE))</f>
        <v/>
      </c>
      <c r="F681" s="122"/>
      <c r="G681" s="113" t="str">
        <f>IF(Tabela3[[#This Row],[Valor]]="","",G680+F681)</f>
        <v/>
      </c>
      <c r="H681" s="121"/>
      <c r="I681" s="120"/>
    </row>
    <row r="682" spans="1:9" x14ac:dyDescent="0.25">
      <c r="A682" s="4">
        <f>YEAR(Tabela3[[#This Row],[Data]])</f>
        <v>1900</v>
      </c>
      <c r="B682" s="121"/>
      <c r="C682" s="120"/>
      <c r="D682" s="120"/>
      <c r="E682" s="126" t="str">
        <f>IF(Tabela3[[#This Row],[Descrição]]="","",VLOOKUP(Tabela3[[#This Row],[Descrição]],Tabela4[[Descrição]:[Tipo Receita/ Gasto]],2,FALSE))</f>
        <v/>
      </c>
      <c r="F682" s="122"/>
      <c r="G682" s="113" t="str">
        <f>IF(Tabela3[[#This Row],[Valor]]="","",G681+F682)</f>
        <v/>
      </c>
      <c r="H682" s="121"/>
      <c r="I682" s="120"/>
    </row>
    <row r="683" spans="1:9" x14ac:dyDescent="0.25">
      <c r="A683" s="4">
        <f>YEAR(Tabela3[[#This Row],[Data]])</f>
        <v>1900</v>
      </c>
      <c r="B683" s="121"/>
      <c r="C683" s="120"/>
      <c r="D683" s="120"/>
      <c r="E683" s="126" t="str">
        <f>IF(Tabela3[[#This Row],[Descrição]]="","",VLOOKUP(Tabela3[[#This Row],[Descrição]],Tabela4[[Descrição]:[Tipo Receita/ Gasto]],2,FALSE))</f>
        <v/>
      </c>
      <c r="F683" s="122"/>
      <c r="G683" s="113" t="str">
        <f>IF(Tabela3[[#This Row],[Valor]]="","",G682+F683)</f>
        <v/>
      </c>
      <c r="H683" s="121"/>
      <c r="I683" s="120"/>
    </row>
    <row r="684" spans="1:9" x14ac:dyDescent="0.25">
      <c r="A684" s="4">
        <f>YEAR(Tabela3[[#This Row],[Data]])</f>
        <v>1900</v>
      </c>
      <c r="B684" s="121"/>
      <c r="C684" s="120"/>
      <c r="D684" s="120"/>
      <c r="E684" s="126" t="str">
        <f>IF(Tabela3[[#This Row],[Descrição]]="","",VLOOKUP(Tabela3[[#This Row],[Descrição]],Tabela4[[Descrição]:[Tipo Receita/ Gasto]],2,FALSE))</f>
        <v/>
      </c>
      <c r="F684" s="122"/>
      <c r="G684" s="113" t="str">
        <f>IF(Tabela3[[#This Row],[Valor]]="","",G683+F684)</f>
        <v/>
      </c>
      <c r="H684" s="121"/>
      <c r="I684" s="120"/>
    </row>
    <row r="685" spans="1:9" x14ac:dyDescent="0.25">
      <c r="A685" s="4">
        <f>YEAR(Tabela3[[#This Row],[Data]])</f>
        <v>1900</v>
      </c>
      <c r="B685" s="121"/>
      <c r="C685" s="120"/>
      <c r="D685" s="120"/>
      <c r="E685" s="126" t="str">
        <f>IF(Tabela3[[#This Row],[Descrição]]="","",VLOOKUP(Tabela3[[#This Row],[Descrição]],Tabela4[[Descrição]:[Tipo Receita/ Gasto]],2,FALSE))</f>
        <v/>
      </c>
      <c r="F685" s="122"/>
      <c r="G685" s="113" t="str">
        <f>IF(Tabela3[[#This Row],[Valor]]="","",G684+F685)</f>
        <v/>
      </c>
      <c r="H685" s="121"/>
      <c r="I685" s="120"/>
    </row>
    <row r="686" spans="1:9" x14ac:dyDescent="0.25">
      <c r="A686" s="4">
        <f>YEAR(Tabela3[[#This Row],[Data]])</f>
        <v>1900</v>
      </c>
      <c r="B686" s="121"/>
      <c r="C686" s="120"/>
      <c r="D686" s="120"/>
      <c r="E686" s="126" t="str">
        <f>IF(Tabela3[[#This Row],[Descrição]]="","",VLOOKUP(Tabela3[[#This Row],[Descrição]],Tabela4[[Descrição]:[Tipo Receita/ Gasto]],2,FALSE))</f>
        <v/>
      </c>
      <c r="F686" s="122"/>
      <c r="G686" s="113" t="str">
        <f>IF(Tabela3[[#This Row],[Valor]]="","",G685+F686)</f>
        <v/>
      </c>
      <c r="H686" s="121"/>
      <c r="I686" s="120"/>
    </row>
    <row r="687" spans="1:9" x14ac:dyDescent="0.25">
      <c r="A687" s="4">
        <f>YEAR(Tabela3[[#This Row],[Data]])</f>
        <v>1900</v>
      </c>
      <c r="B687" s="121"/>
      <c r="C687" s="120"/>
      <c r="D687" s="120"/>
      <c r="E687" s="126" t="str">
        <f>IF(Tabela3[[#This Row],[Descrição]]="","",VLOOKUP(Tabela3[[#This Row],[Descrição]],Tabela4[[Descrição]:[Tipo Receita/ Gasto]],2,FALSE))</f>
        <v/>
      </c>
      <c r="F687" s="122"/>
      <c r="G687" s="113" t="str">
        <f>IF(Tabela3[[#This Row],[Valor]]="","",G686+F687)</f>
        <v/>
      </c>
      <c r="H687" s="121"/>
      <c r="I687" s="120"/>
    </row>
    <row r="688" spans="1:9" x14ac:dyDescent="0.25">
      <c r="A688" s="4">
        <f>YEAR(Tabela3[[#This Row],[Data]])</f>
        <v>1900</v>
      </c>
      <c r="B688" s="121"/>
      <c r="C688" s="120"/>
      <c r="D688" s="120"/>
      <c r="E688" s="126" t="str">
        <f>IF(Tabela3[[#This Row],[Descrição]]="","",VLOOKUP(Tabela3[[#This Row],[Descrição]],Tabela4[[Descrição]:[Tipo Receita/ Gasto]],2,FALSE))</f>
        <v/>
      </c>
      <c r="F688" s="122"/>
      <c r="G688" s="113" t="str">
        <f>IF(Tabela3[[#This Row],[Valor]]="","",G687+F688)</f>
        <v/>
      </c>
      <c r="H688" s="121"/>
      <c r="I688" s="120"/>
    </row>
    <row r="689" spans="1:9" x14ac:dyDescent="0.25">
      <c r="A689" s="4">
        <f>YEAR(Tabela3[[#This Row],[Data]])</f>
        <v>1900</v>
      </c>
      <c r="B689" s="121"/>
      <c r="C689" s="120"/>
      <c r="D689" s="120"/>
      <c r="E689" s="126" t="str">
        <f>IF(Tabela3[[#This Row],[Descrição]]="","",VLOOKUP(Tabela3[[#This Row],[Descrição]],Tabela4[[Descrição]:[Tipo Receita/ Gasto]],2,FALSE))</f>
        <v/>
      </c>
      <c r="F689" s="122"/>
      <c r="G689" s="113" t="str">
        <f>IF(Tabela3[[#This Row],[Valor]]="","",G688+F689)</f>
        <v/>
      </c>
      <c r="H689" s="121"/>
      <c r="I689" s="120"/>
    </row>
    <row r="690" spans="1:9" x14ac:dyDescent="0.25">
      <c r="A690" s="4">
        <f>YEAR(Tabela3[[#This Row],[Data]])</f>
        <v>1900</v>
      </c>
      <c r="B690" s="121"/>
      <c r="C690" s="120"/>
      <c r="D690" s="120"/>
      <c r="E690" s="126" t="str">
        <f>IF(Tabela3[[#This Row],[Descrição]]="","",VLOOKUP(Tabela3[[#This Row],[Descrição]],Tabela4[[Descrição]:[Tipo Receita/ Gasto]],2,FALSE))</f>
        <v/>
      </c>
      <c r="F690" s="122"/>
      <c r="G690" s="113" t="str">
        <f>IF(Tabela3[[#This Row],[Valor]]="","",G689+F690)</f>
        <v/>
      </c>
      <c r="H690" s="121"/>
      <c r="I690" s="120"/>
    </row>
    <row r="691" spans="1:9" x14ac:dyDescent="0.25">
      <c r="A691" s="4">
        <f>YEAR(Tabela3[[#This Row],[Data]])</f>
        <v>1900</v>
      </c>
      <c r="B691" s="121"/>
      <c r="C691" s="120"/>
      <c r="D691" s="120"/>
      <c r="E691" s="126" t="str">
        <f>IF(Tabela3[[#This Row],[Descrição]]="","",VLOOKUP(Tabela3[[#This Row],[Descrição]],Tabela4[[Descrição]:[Tipo Receita/ Gasto]],2,FALSE))</f>
        <v/>
      </c>
      <c r="F691" s="122"/>
      <c r="G691" s="113" t="str">
        <f>IF(Tabela3[[#This Row],[Valor]]="","",G690+F691)</f>
        <v/>
      </c>
      <c r="H691" s="121"/>
      <c r="I691" s="120"/>
    </row>
    <row r="692" spans="1:9" x14ac:dyDescent="0.25">
      <c r="A692" s="4">
        <f>YEAR(Tabela3[[#This Row],[Data]])</f>
        <v>1900</v>
      </c>
      <c r="B692" s="121"/>
      <c r="C692" s="120"/>
      <c r="D692" s="120"/>
      <c r="E692" s="126" t="str">
        <f>IF(Tabela3[[#This Row],[Descrição]]="","",VLOOKUP(Tabela3[[#This Row],[Descrição]],Tabela4[[Descrição]:[Tipo Receita/ Gasto]],2,FALSE))</f>
        <v/>
      </c>
      <c r="F692" s="122"/>
      <c r="G692" s="113" t="str">
        <f>IF(Tabela3[[#This Row],[Valor]]="","",G691+F692)</f>
        <v/>
      </c>
      <c r="H692" s="121"/>
      <c r="I692" s="120"/>
    </row>
    <row r="693" spans="1:9" x14ac:dyDescent="0.25">
      <c r="A693" s="4">
        <f>YEAR(Tabela3[[#This Row],[Data]])</f>
        <v>1900</v>
      </c>
      <c r="B693" s="121"/>
      <c r="C693" s="120"/>
      <c r="D693" s="120"/>
      <c r="E693" s="126" t="str">
        <f>IF(Tabela3[[#This Row],[Descrição]]="","",VLOOKUP(Tabela3[[#This Row],[Descrição]],Tabela4[[Descrição]:[Tipo Receita/ Gasto]],2,FALSE))</f>
        <v/>
      </c>
      <c r="F693" s="122"/>
      <c r="G693" s="113" t="str">
        <f>IF(Tabela3[[#This Row],[Valor]]="","",G692+F693)</f>
        <v/>
      </c>
      <c r="H693" s="121"/>
      <c r="I693" s="120"/>
    </row>
    <row r="694" spans="1:9" x14ac:dyDescent="0.25">
      <c r="A694" s="4">
        <f>YEAR(Tabela3[[#This Row],[Data]])</f>
        <v>1900</v>
      </c>
      <c r="B694" s="121"/>
      <c r="C694" s="120"/>
      <c r="D694" s="120"/>
      <c r="E694" s="126" t="str">
        <f>IF(Tabela3[[#This Row],[Descrição]]="","",VLOOKUP(Tabela3[[#This Row],[Descrição]],Tabela4[[Descrição]:[Tipo Receita/ Gasto]],2,FALSE))</f>
        <v/>
      </c>
      <c r="F694" s="122"/>
      <c r="G694" s="113" t="str">
        <f>IF(Tabela3[[#This Row],[Valor]]="","",G693+F694)</f>
        <v/>
      </c>
      <c r="H694" s="121"/>
      <c r="I694" s="120"/>
    </row>
    <row r="695" spans="1:9" x14ac:dyDescent="0.25">
      <c r="A695" s="4">
        <f>YEAR(Tabela3[[#This Row],[Data]])</f>
        <v>1900</v>
      </c>
      <c r="B695" s="121"/>
      <c r="C695" s="120"/>
      <c r="D695" s="120"/>
      <c r="E695" s="126" t="str">
        <f>IF(Tabela3[[#This Row],[Descrição]]="","",VLOOKUP(Tabela3[[#This Row],[Descrição]],Tabela4[[Descrição]:[Tipo Receita/ Gasto]],2,FALSE))</f>
        <v/>
      </c>
      <c r="F695" s="122"/>
      <c r="G695" s="113" t="str">
        <f>IF(Tabela3[[#This Row],[Valor]]="","",G694+F695)</f>
        <v/>
      </c>
      <c r="H695" s="121"/>
      <c r="I695" s="120"/>
    </row>
    <row r="696" spans="1:9" x14ac:dyDescent="0.25">
      <c r="A696" s="4">
        <f>YEAR(Tabela3[[#This Row],[Data]])</f>
        <v>1900</v>
      </c>
      <c r="B696" s="121"/>
      <c r="C696" s="120"/>
      <c r="D696" s="120"/>
      <c r="E696" s="126" t="str">
        <f>IF(Tabela3[[#This Row],[Descrição]]="","",VLOOKUP(Tabela3[[#This Row],[Descrição]],Tabela4[[Descrição]:[Tipo Receita/ Gasto]],2,FALSE))</f>
        <v/>
      </c>
      <c r="F696" s="122"/>
      <c r="G696" s="113" t="str">
        <f>IF(Tabela3[[#This Row],[Valor]]="","",G695+F696)</f>
        <v/>
      </c>
      <c r="H696" s="121"/>
      <c r="I696" s="120"/>
    </row>
    <row r="697" spans="1:9" x14ac:dyDescent="0.25">
      <c r="A697" s="4">
        <f>YEAR(Tabela3[[#This Row],[Data]])</f>
        <v>1900</v>
      </c>
      <c r="B697" s="121"/>
      <c r="C697" s="120"/>
      <c r="D697" s="120"/>
      <c r="E697" s="126" t="str">
        <f>IF(Tabela3[[#This Row],[Descrição]]="","",VLOOKUP(Tabela3[[#This Row],[Descrição]],Tabela4[[Descrição]:[Tipo Receita/ Gasto]],2,FALSE))</f>
        <v/>
      </c>
      <c r="F697" s="122"/>
      <c r="G697" s="113" t="str">
        <f>IF(Tabela3[[#This Row],[Valor]]="","",G696+F697)</f>
        <v/>
      </c>
      <c r="H697" s="121"/>
      <c r="I697" s="120"/>
    </row>
    <row r="698" spans="1:9" x14ac:dyDescent="0.25">
      <c r="A698" s="4">
        <f>YEAR(Tabela3[[#This Row],[Data]])</f>
        <v>1900</v>
      </c>
      <c r="B698" s="121"/>
      <c r="C698" s="120"/>
      <c r="D698" s="120"/>
      <c r="E698" s="126" t="str">
        <f>IF(Tabela3[[#This Row],[Descrição]]="","",VLOOKUP(Tabela3[[#This Row],[Descrição]],Tabela4[[Descrição]:[Tipo Receita/ Gasto]],2,FALSE))</f>
        <v/>
      </c>
      <c r="F698" s="122"/>
      <c r="G698" s="113" t="str">
        <f>IF(Tabela3[[#This Row],[Valor]]="","",G697+F698)</f>
        <v/>
      </c>
      <c r="H698" s="121"/>
      <c r="I698" s="120"/>
    </row>
    <row r="699" spans="1:9" x14ac:dyDescent="0.25">
      <c r="A699" s="4">
        <f>YEAR(Tabela3[[#This Row],[Data]])</f>
        <v>1900</v>
      </c>
      <c r="B699" s="121"/>
      <c r="C699" s="120"/>
      <c r="D699" s="120"/>
      <c r="E699" s="126" t="str">
        <f>IF(Tabela3[[#This Row],[Descrição]]="","",VLOOKUP(Tabela3[[#This Row],[Descrição]],Tabela4[[Descrição]:[Tipo Receita/ Gasto]],2,FALSE))</f>
        <v/>
      </c>
      <c r="F699" s="122"/>
      <c r="G699" s="113" t="str">
        <f>IF(Tabela3[[#This Row],[Valor]]="","",G698+F699)</f>
        <v/>
      </c>
      <c r="H699" s="121"/>
      <c r="I699" s="120"/>
    </row>
    <row r="700" spans="1:9" x14ac:dyDescent="0.25">
      <c r="A700" s="4">
        <f>YEAR(Tabela3[[#This Row],[Data]])</f>
        <v>1900</v>
      </c>
      <c r="B700" s="121"/>
      <c r="C700" s="120"/>
      <c r="D700" s="120"/>
      <c r="E700" s="126" t="str">
        <f>IF(Tabela3[[#This Row],[Descrição]]="","",VLOOKUP(Tabela3[[#This Row],[Descrição]],Tabela4[[Descrição]:[Tipo Receita/ Gasto]],2,FALSE))</f>
        <v/>
      </c>
      <c r="F700" s="122"/>
      <c r="G700" s="113" t="str">
        <f>IF(Tabela3[[#This Row],[Valor]]="","",G699+F700)</f>
        <v/>
      </c>
      <c r="H700" s="121"/>
      <c r="I700" s="120"/>
    </row>
    <row r="701" spans="1:9" x14ac:dyDescent="0.25">
      <c r="A701" s="4">
        <f>YEAR(Tabela3[[#This Row],[Data]])</f>
        <v>1900</v>
      </c>
      <c r="B701" s="121"/>
      <c r="C701" s="120"/>
      <c r="D701" s="120"/>
      <c r="E701" s="126" t="str">
        <f>IF(Tabela3[[#This Row],[Descrição]]="","",VLOOKUP(Tabela3[[#This Row],[Descrição]],Tabela4[[Descrição]:[Tipo Receita/ Gasto]],2,FALSE))</f>
        <v/>
      </c>
      <c r="F701" s="122"/>
      <c r="G701" s="113" t="str">
        <f>IF(Tabela3[[#This Row],[Valor]]="","",G700+F701)</f>
        <v/>
      </c>
      <c r="H701" s="121"/>
      <c r="I701" s="120"/>
    </row>
    <row r="702" spans="1:9" x14ac:dyDescent="0.25">
      <c r="A702" s="4">
        <f>YEAR(Tabela3[[#This Row],[Data]])</f>
        <v>1900</v>
      </c>
      <c r="B702" s="121"/>
      <c r="C702" s="120"/>
      <c r="D702" s="120"/>
      <c r="E702" s="126" t="str">
        <f>IF(Tabela3[[#This Row],[Descrição]]="","",VLOOKUP(Tabela3[[#This Row],[Descrição]],Tabela4[[Descrição]:[Tipo Receita/ Gasto]],2,FALSE))</f>
        <v/>
      </c>
      <c r="F702" s="122"/>
      <c r="G702" s="113" t="str">
        <f>IF(Tabela3[[#This Row],[Valor]]="","",G701+F702)</f>
        <v/>
      </c>
      <c r="H702" s="121"/>
      <c r="I702" s="120"/>
    </row>
    <row r="703" spans="1:9" x14ac:dyDescent="0.25">
      <c r="A703" s="4">
        <f>YEAR(Tabela3[[#This Row],[Data]])</f>
        <v>1900</v>
      </c>
      <c r="B703" s="121"/>
      <c r="C703" s="120"/>
      <c r="D703" s="120"/>
      <c r="E703" s="126" t="str">
        <f>IF(Tabela3[[#This Row],[Descrição]]="","",VLOOKUP(Tabela3[[#This Row],[Descrição]],Tabela4[[Descrição]:[Tipo Receita/ Gasto]],2,FALSE))</f>
        <v/>
      </c>
      <c r="F703" s="122"/>
      <c r="G703" s="113" t="str">
        <f>IF(Tabela3[[#This Row],[Valor]]="","",G702+F703)</f>
        <v/>
      </c>
      <c r="H703" s="121"/>
      <c r="I703" s="120"/>
    </row>
    <row r="704" spans="1:9" x14ac:dyDescent="0.25">
      <c r="A704" s="4">
        <f>YEAR(Tabela3[[#This Row],[Data]])</f>
        <v>1900</v>
      </c>
      <c r="B704" s="121"/>
      <c r="C704" s="120"/>
      <c r="D704" s="120"/>
      <c r="E704" s="126" t="str">
        <f>IF(Tabela3[[#This Row],[Descrição]]="","",VLOOKUP(Tabela3[[#This Row],[Descrição]],Tabela4[[Descrição]:[Tipo Receita/ Gasto]],2,FALSE))</f>
        <v/>
      </c>
      <c r="F704" s="122"/>
      <c r="G704" s="113" t="str">
        <f>IF(Tabela3[[#This Row],[Valor]]="","",G703+F704)</f>
        <v/>
      </c>
      <c r="H704" s="121"/>
      <c r="I704" s="120"/>
    </row>
    <row r="705" spans="1:9" x14ac:dyDescent="0.25">
      <c r="A705" s="4">
        <f>YEAR(Tabela3[[#This Row],[Data]])</f>
        <v>1900</v>
      </c>
      <c r="B705" s="121"/>
      <c r="C705" s="120"/>
      <c r="D705" s="120"/>
      <c r="E705" s="126" t="str">
        <f>IF(Tabela3[[#This Row],[Descrição]]="","",VLOOKUP(Tabela3[[#This Row],[Descrição]],Tabela4[[Descrição]:[Tipo Receita/ Gasto]],2,FALSE))</f>
        <v/>
      </c>
      <c r="F705" s="122"/>
      <c r="G705" s="113" t="str">
        <f>IF(Tabela3[[#This Row],[Valor]]="","",G704+F705)</f>
        <v/>
      </c>
      <c r="H705" s="121"/>
      <c r="I705" s="120"/>
    </row>
    <row r="706" spans="1:9" x14ac:dyDescent="0.25">
      <c r="A706" s="4">
        <f>YEAR(Tabela3[[#This Row],[Data]])</f>
        <v>1900</v>
      </c>
      <c r="B706" s="121"/>
      <c r="C706" s="120"/>
      <c r="D706" s="120"/>
      <c r="E706" s="126" t="str">
        <f>IF(Tabela3[[#This Row],[Descrição]]="","",VLOOKUP(Tabela3[[#This Row],[Descrição]],Tabela4[[Descrição]:[Tipo Receita/ Gasto]],2,FALSE))</f>
        <v/>
      </c>
      <c r="F706" s="122"/>
      <c r="G706" s="113" t="str">
        <f>IF(Tabela3[[#This Row],[Valor]]="","",G705+F706)</f>
        <v/>
      </c>
      <c r="H706" s="121"/>
      <c r="I706" s="120"/>
    </row>
    <row r="707" spans="1:9" x14ac:dyDescent="0.25">
      <c r="A707" s="4">
        <f>YEAR(Tabela3[[#This Row],[Data]])</f>
        <v>1900</v>
      </c>
      <c r="B707" s="121"/>
      <c r="C707" s="120"/>
      <c r="D707" s="120"/>
      <c r="E707" s="126" t="str">
        <f>IF(Tabela3[[#This Row],[Descrição]]="","",VLOOKUP(Tabela3[[#This Row],[Descrição]],Tabela4[[Descrição]:[Tipo Receita/ Gasto]],2,FALSE))</f>
        <v/>
      </c>
      <c r="F707" s="122"/>
      <c r="G707" s="113" t="str">
        <f>IF(Tabela3[[#This Row],[Valor]]="","",G706+F707)</f>
        <v/>
      </c>
      <c r="H707" s="121"/>
      <c r="I707" s="120"/>
    </row>
    <row r="708" spans="1:9" x14ac:dyDescent="0.25">
      <c r="A708" s="4">
        <f>YEAR(Tabela3[[#This Row],[Data]])</f>
        <v>1900</v>
      </c>
      <c r="B708" s="121"/>
      <c r="C708" s="120"/>
      <c r="D708" s="120"/>
      <c r="E708" s="126" t="str">
        <f>IF(Tabela3[[#This Row],[Descrição]]="","",VLOOKUP(Tabela3[[#This Row],[Descrição]],Tabela4[[Descrição]:[Tipo Receita/ Gasto]],2,FALSE))</f>
        <v/>
      </c>
      <c r="F708" s="122"/>
      <c r="G708" s="113" t="str">
        <f>IF(Tabela3[[#This Row],[Valor]]="","",G707+F708)</f>
        <v/>
      </c>
      <c r="H708" s="121"/>
      <c r="I708" s="120"/>
    </row>
    <row r="709" spans="1:9" x14ac:dyDescent="0.25">
      <c r="A709" s="4">
        <f>YEAR(Tabela3[[#This Row],[Data]])</f>
        <v>1900</v>
      </c>
      <c r="B709" s="121"/>
      <c r="C709" s="120"/>
      <c r="D709" s="120"/>
      <c r="E709" s="126" t="str">
        <f>IF(Tabela3[[#This Row],[Descrição]]="","",VLOOKUP(Tabela3[[#This Row],[Descrição]],Tabela4[[Descrição]:[Tipo Receita/ Gasto]],2,FALSE))</f>
        <v/>
      </c>
      <c r="F709" s="122"/>
      <c r="G709" s="113" t="str">
        <f>IF(Tabela3[[#This Row],[Valor]]="","",G708+F709)</f>
        <v/>
      </c>
      <c r="H709" s="121"/>
      <c r="I709" s="120"/>
    </row>
    <row r="710" spans="1:9" x14ac:dyDescent="0.25">
      <c r="A710" s="4">
        <f>YEAR(Tabela3[[#This Row],[Data]])</f>
        <v>1900</v>
      </c>
      <c r="B710" s="121"/>
      <c r="C710" s="120"/>
      <c r="D710" s="120"/>
      <c r="E710" s="126" t="str">
        <f>IF(Tabela3[[#This Row],[Descrição]]="","",VLOOKUP(Tabela3[[#This Row],[Descrição]],Tabela4[[Descrição]:[Tipo Receita/ Gasto]],2,FALSE))</f>
        <v/>
      </c>
      <c r="F710" s="122"/>
      <c r="G710" s="113" t="str">
        <f>IF(Tabela3[[#This Row],[Valor]]="","",G709+F710)</f>
        <v/>
      </c>
      <c r="H710" s="121"/>
      <c r="I710" s="120"/>
    </row>
    <row r="711" spans="1:9" x14ac:dyDescent="0.25">
      <c r="A711" s="4">
        <f>YEAR(Tabela3[[#This Row],[Data]])</f>
        <v>1900</v>
      </c>
      <c r="B711" s="121"/>
      <c r="C711" s="120"/>
      <c r="D711" s="120"/>
      <c r="E711" s="126" t="str">
        <f>IF(Tabela3[[#This Row],[Descrição]]="","",VLOOKUP(Tabela3[[#This Row],[Descrição]],Tabela4[[Descrição]:[Tipo Receita/ Gasto]],2,FALSE))</f>
        <v/>
      </c>
      <c r="F711" s="122"/>
      <c r="G711" s="113" t="str">
        <f>IF(Tabela3[[#This Row],[Valor]]="","",G710+F711)</f>
        <v/>
      </c>
      <c r="H711" s="121"/>
      <c r="I711" s="120"/>
    </row>
    <row r="712" spans="1:9" x14ac:dyDescent="0.25">
      <c r="A712" s="4">
        <f>YEAR(Tabela3[[#This Row],[Data]])</f>
        <v>1900</v>
      </c>
      <c r="B712" s="121"/>
      <c r="C712" s="120"/>
      <c r="D712" s="120"/>
      <c r="E712" s="126" t="str">
        <f>IF(Tabela3[[#This Row],[Descrição]]="","",VLOOKUP(Tabela3[[#This Row],[Descrição]],Tabela4[[Descrição]:[Tipo Receita/ Gasto]],2,FALSE))</f>
        <v/>
      </c>
      <c r="F712" s="122"/>
      <c r="G712" s="113" t="str">
        <f>IF(Tabela3[[#This Row],[Valor]]="","",G711+F712)</f>
        <v/>
      </c>
      <c r="H712" s="121"/>
      <c r="I712" s="120"/>
    </row>
    <row r="713" spans="1:9" x14ac:dyDescent="0.25">
      <c r="A713" s="4">
        <f>YEAR(Tabela3[[#This Row],[Data]])</f>
        <v>1900</v>
      </c>
      <c r="B713" s="121"/>
      <c r="C713" s="120"/>
      <c r="D713" s="120"/>
      <c r="E713" s="126" t="str">
        <f>IF(Tabela3[[#This Row],[Descrição]]="","",VLOOKUP(Tabela3[[#This Row],[Descrição]],Tabela4[[Descrição]:[Tipo Receita/ Gasto]],2,FALSE))</f>
        <v/>
      </c>
      <c r="F713" s="122"/>
      <c r="G713" s="113" t="str">
        <f>IF(Tabela3[[#This Row],[Valor]]="","",G712+F713)</f>
        <v/>
      </c>
      <c r="H713" s="121"/>
      <c r="I713" s="120"/>
    </row>
    <row r="714" spans="1:9" x14ac:dyDescent="0.25">
      <c r="A714" s="4">
        <f>YEAR(Tabela3[[#This Row],[Data]])</f>
        <v>1900</v>
      </c>
      <c r="B714" s="121"/>
      <c r="C714" s="120"/>
      <c r="D714" s="120"/>
      <c r="E714" s="126" t="str">
        <f>IF(Tabela3[[#This Row],[Descrição]]="","",VLOOKUP(Tabela3[[#This Row],[Descrição]],Tabela4[[Descrição]:[Tipo Receita/ Gasto]],2,FALSE))</f>
        <v/>
      </c>
      <c r="F714" s="122"/>
      <c r="G714" s="113" t="str">
        <f>IF(Tabela3[[#This Row],[Valor]]="","",G713+F714)</f>
        <v/>
      </c>
      <c r="H714" s="121"/>
      <c r="I714" s="120"/>
    </row>
    <row r="715" spans="1:9" x14ac:dyDescent="0.25">
      <c r="A715" s="4">
        <f>YEAR(Tabela3[[#This Row],[Data]])</f>
        <v>1900</v>
      </c>
      <c r="B715" s="121"/>
      <c r="C715" s="120"/>
      <c r="D715" s="120"/>
      <c r="E715" s="126" t="str">
        <f>IF(Tabela3[[#This Row],[Descrição]]="","",VLOOKUP(Tabela3[[#This Row],[Descrição]],Tabela4[[Descrição]:[Tipo Receita/ Gasto]],2,FALSE))</f>
        <v/>
      </c>
      <c r="F715" s="122"/>
      <c r="G715" s="113" t="str">
        <f>IF(Tabela3[[#This Row],[Valor]]="","",G714+F715)</f>
        <v/>
      </c>
      <c r="H715" s="121"/>
      <c r="I715" s="120"/>
    </row>
    <row r="716" spans="1:9" x14ac:dyDescent="0.25">
      <c r="A716" s="4">
        <f>YEAR(Tabela3[[#This Row],[Data]])</f>
        <v>1900</v>
      </c>
      <c r="B716" s="121"/>
      <c r="C716" s="120"/>
      <c r="D716" s="120"/>
      <c r="E716" s="126" t="str">
        <f>IF(Tabela3[[#This Row],[Descrição]]="","",VLOOKUP(Tabela3[[#This Row],[Descrição]],Tabela4[[Descrição]:[Tipo Receita/ Gasto]],2,FALSE))</f>
        <v/>
      </c>
      <c r="F716" s="122"/>
      <c r="G716" s="113" t="str">
        <f>IF(Tabela3[[#This Row],[Valor]]="","",G715+F716)</f>
        <v/>
      </c>
      <c r="H716" s="121"/>
      <c r="I716" s="120"/>
    </row>
    <row r="717" spans="1:9" x14ac:dyDescent="0.25">
      <c r="A717" s="4">
        <f>YEAR(Tabela3[[#This Row],[Data]])</f>
        <v>1900</v>
      </c>
      <c r="B717" s="121"/>
      <c r="C717" s="120"/>
      <c r="D717" s="120"/>
      <c r="E717" s="126" t="str">
        <f>IF(Tabela3[[#This Row],[Descrição]]="","",VLOOKUP(Tabela3[[#This Row],[Descrição]],Tabela4[[Descrição]:[Tipo Receita/ Gasto]],2,FALSE))</f>
        <v/>
      </c>
      <c r="F717" s="122"/>
      <c r="G717" s="113" t="str">
        <f>IF(Tabela3[[#This Row],[Valor]]="","",G716+F717)</f>
        <v/>
      </c>
      <c r="H717" s="121"/>
      <c r="I717" s="120"/>
    </row>
    <row r="718" spans="1:9" x14ac:dyDescent="0.25">
      <c r="A718" s="4">
        <f>YEAR(Tabela3[[#This Row],[Data]])</f>
        <v>1900</v>
      </c>
      <c r="B718" s="121"/>
      <c r="C718" s="120"/>
      <c r="D718" s="120"/>
      <c r="E718" s="126" t="str">
        <f>IF(Tabela3[[#This Row],[Descrição]]="","",VLOOKUP(Tabela3[[#This Row],[Descrição]],Tabela4[[Descrição]:[Tipo Receita/ Gasto]],2,FALSE))</f>
        <v/>
      </c>
      <c r="F718" s="122"/>
      <c r="G718" s="113" t="str">
        <f>IF(Tabela3[[#This Row],[Valor]]="","",G717+F718)</f>
        <v/>
      </c>
      <c r="H718" s="121"/>
      <c r="I718" s="120"/>
    </row>
    <row r="719" spans="1:9" x14ac:dyDescent="0.25">
      <c r="A719" s="4">
        <f>YEAR(Tabela3[[#This Row],[Data]])</f>
        <v>1900</v>
      </c>
      <c r="B719" s="121"/>
      <c r="C719" s="120"/>
      <c r="D719" s="120"/>
      <c r="E719" s="126" t="str">
        <f>IF(Tabela3[[#This Row],[Descrição]]="","",VLOOKUP(Tabela3[[#This Row],[Descrição]],Tabela4[[Descrição]:[Tipo Receita/ Gasto]],2,FALSE))</f>
        <v/>
      </c>
      <c r="F719" s="122"/>
      <c r="G719" s="113" t="str">
        <f>IF(Tabela3[[#This Row],[Valor]]="","",G718+F719)</f>
        <v/>
      </c>
      <c r="H719" s="121"/>
      <c r="I719" s="120"/>
    </row>
    <row r="720" spans="1:9" x14ac:dyDescent="0.25">
      <c r="A720" s="4">
        <f>YEAR(Tabela3[[#This Row],[Data]])</f>
        <v>1900</v>
      </c>
      <c r="B720" s="121"/>
      <c r="C720" s="120"/>
      <c r="D720" s="120"/>
      <c r="E720" s="126" t="str">
        <f>IF(Tabela3[[#This Row],[Descrição]]="","",VLOOKUP(Tabela3[[#This Row],[Descrição]],Tabela4[[Descrição]:[Tipo Receita/ Gasto]],2,FALSE))</f>
        <v/>
      </c>
      <c r="F720" s="122"/>
      <c r="G720" s="113" t="str">
        <f>IF(Tabela3[[#This Row],[Valor]]="","",G719+F720)</f>
        <v/>
      </c>
      <c r="H720" s="121"/>
      <c r="I720" s="120"/>
    </row>
    <row r="721" spans="1:9" x14ac:dyDescent="0.25">
      <c r="A721" s="4">
        <f>YEAR(Tabela3[[#This Row],[Data]])</f>
        <v>1900</v>
      </c>
      <c r="B721" s="121"/>
      <c r="C721" s="120"/>
      <c r="D721" s="120"/>
      <c r="E721" s="126" t="str">
        <f>IF(Tabela3[[#This Row],[Descrição]]="","",VLOOKUP(Tabela3[[#This Row],[Descrição]],Tabela4[[Descrição]:[Tipo Receita/ Gasto]],2,FALSE))</f>
        <v/>
      </c>
      <c r="F721" s="122"/>
      <c r="G721" s="113" t="str">
        <f>IF(Tabela3[[#This Row],[Valor]]="","",G720+F721)</f>
        <v/>
      </c>
      <c r="H721" s="121"/>
      <c r="I721" s="120"/>
    </row>
    <row r="722" spans="1:9" x14ac:dyDescent="0.25">
      <c r="A722" s="4">
        <f>YEAR(Tabela3[[#This Row],[Data]])</f>
        <v>1900</v>
      </c>
      <c r="B722" s="121"/>
      <c r="C722" s="120"/>
      <c r="D722" s="120"/>
      <c r="E722" s="126" t="str">
        <f>IF(Tabela3[[#This Row],[Descrição]]="","",VLOOKUP(Tabela3[[#This Row],[Descrição]],Tabela4[[Descrição]:[Tipo Receita/ Gasto]],2,FALSE))</f>
        <v/>
      </c>
      <c r="F722" s="122"/>
      <c r="G722" s="113" t="str">
        <f>IF(Tabela3[[#This Row],[Valor]]="","",G721+F722)</f>
        <v/>
      </c>
      <c r="H722" s="121"/>
      <c r="I722" s="120"/>
    </row>
    <row r="723" spans="1:9" x14ac:dyDescent="0.25">
      <c r="A723" s="4">
        <f>YEAR(Tabela3[[#This Row],[Data]])</f>
        <v>1900</v>
      </c>
      <c r="B723" s="121"/>
      <c r="C723" s="120"/>
      <c r="D723" s="120"/>
      <c r="E723" s="126" t="str">
        <f>IF(Tabela3[[#This Row],[Descrição]]="","",VLOOKUP(Tabela3[[#This Row],[Descrição]],Tabela4[[Descrição]:[Tipo Receita/ Gasto]],2,FALSE))</f>
        <v/>
      </c>
      <c r="F723" s="122"/>
      <c r="G723" s="113" t="str">
        <f>IF(Tabela3[[#This Row],[Valor]]="","",G722+F723)</f>
        <v/>
      </c>
      <c r="H723" s="121"/>
      <c r="I723" s="120"/>
    </row>
    <row r="724" spans="1:9" x14ac:dyDescent="0.25">
      <c r="A724" s="4">
        <f>YEAR(Tabela3[[#This Row],[Data]])</f>
        <v>1900</v>
      </c>
      <c r="B724" s="121"/>
      <c r="C724" s="120"/>
      <c r="D724" s="120"/>
      <c r="E724" s="126" t="str">
        <f>IF(Tabela3[[#This Row],[Descrição]]="","",VLOOKUP(Tabela3[[#This Row],[Descrição]],Tabela4[[Descrição]:[Tipo Receita/ Gasto]],2,FALSE))</f>
        <v/>
      </c>
      <c r="F724" s="122"/>
      <c r="G724" s="113" t="str">
        <f>IF(Tabela3[[#This Row],[Valor]]="","",G723+F724)</f>
        <v/>
      </c>
      <c r="H724" s="121"/>
      <c r="I724" s="120"/>
    </row>
    <row r="725" spans="1:9" x14ac:dyDescent="0.25">
      <c r="A725" s="4">
        <f>YEAR(Tabela3[[#This Row],[Data]])</f>
        <v>1900</v>
      </c>
      <c r="B725" s="121"/>
      <c r="C725" s="120"/>
      <c r="D725" s="120"/>
      <c r="E725" s="126" t="str">
        <f>IF(Tabela3[[#This Row],[Descrição]]="","",VLOOKUP(Tabela3[[#This Row],[Descrição]],Tabela4[[Descrição]:[Tipo Receita/ Gasto]],2,FALSE))</f>
        <v/>
      </c>
      <c r="F725" s="122"/>
      <c r="G725" s="113" t="str">
        <f>IF(Tabela3[[#This Row],[Valor]]="","",G724+F725)</f>
        <v/>
      </c>
      <c r="H725" s="121"/>
      <c r="I725" s="120"/>
    </row>
    <row r="726" spans="1:9" x14ac:dyDescent="0.25">
      <c r="A726" s="4">
        <f>YEAR(Tabela3[[#This Row],[Data]])</f>
        <v>1900</v>
      </c>
      <c r="B726" s="121"/>
      <c r="C726" s="120"/>
      <c r="D726" s="120"/>
      <c r="E726" s="126" t="str">
        <f>IF(Tabela3[[#This Row],[Descrição]]="","",VLOOKUP(Tabela3[[#This Row],[Descrição]],Tabela4[[Descrição]:[Tipo Receita/ Gasto]],2,FALSE))</f>
        <v/>
      </c>
      <c r="F726" s="122"/>
      <c r="G726" s="113" t="str">
        <f>IF(Tabela3[[#This Row],[Valor]]="","",G725+F726)</f>
        <v/>
      </c>
      <c r="H726" s="121"/>
      <c r="I726" s="120"/>
    </row>
    <row r="727" spans="1:9" x14ac:dyDescent="0.25">
      <c r="A727" s="4">
        <f>YEAR(Tabela3[[#This Row],[Data]])</f>
        <v>1900</v>
      </c>
      <c r="B727" s="121"/>
      <c r="C727" s="120"/>
      <c r="D727" s="120"/>
      <c r="E727" s="126" t="str">
        <f>IF(Tabela3[[#This Row],[Descrição]]="","",VLOOKUP(Tabela3[[#This Row],[Descrição]],Tabela4[[Descrição]:[Tipo Receita/ Gasto]],2,FALSE))</f>
        <v/>
      </c>
      <c r="F727" s="122"/>
      <c r="G727" s="113" t="str">
        <f>IF(Tabela3[[#This Row],[Valor]]="","",G726+F727)</f>
        <v/>
      </c>
      <c r="H727" s="121"/>
      <c r="I727" s="120"/>
    </row>
    <row r="728" spans="1:9" x14ac:dyDescent="0.25">
      <c r="A728" s="4">
        <f>YEAR(Tabela3[[#This Row],[Data]])</f>
        <v>1900</v>
      </c>
      <c r="B728" s="121"/>
      <c r="C728" s="120"/>
      <c r="D728" s="120"/>
      <c r="E728" s="126" t="str">
        <f>IF(Tabela3[[#This Row],[Descrição]]="","",VLOOKUP(Tabela3[[#This Row],[Descrição]],Tabela4[[Descrição]:[Tipo Receita/ Gasto]],2,FALSE))</f>
        <v/>
      </c>
      <c r="F728" s="122"/>
      <c r="G728" s="113" t="str">
        <f>IF(Tabela3[[#This Row],[Valor]]="","",G727+F728)</f>
        <v/>
      </c>
      <c r="H728" s="121"/>
      <c r="I728" s="120"/>
    </row>
    <row r="729" spans="1:9" x14ac:dyDescent="0.25">
      <c r="A729" s="4">
        <f>YEAR(Tabela3[[#This Row],[Data]])</f>
        <v>1900</v>
      </c>
      <c r="B729" s="121"/>
      <c r="C729" s="120"/>
      <c r="D729" s="120"/>
      <c r="E729" s="126" t="str">
        <f>IF(Tabela3[[#This Row],[Descrição]]="","",VLOOKUP(Tabela3[[#This Row],[Descrição]],Tabela4[[Descrição]:[Tipo Receita/ Gasto]],2,FALSE))</f>
        <v/>
      </c>
      <c r="F729" s="122"/>
      <c r="G729" s="113" t="str">
        <f>IF(Tabela3[[#This Row],[Valor]]="","",G728+F729)</f>
        <v/>
      </c>
      <c r="H729" s="121"/>
      <c r="I729" s="120"/>
    </row>
    <row r="730" spans="1:9" x14ac:dyDescent="0.25">
      <c r="A730" s="4">
        <f>YEAR(Tabela3[[#This Row],[Data]])</f>
        <v>1900</v>
      </c>
      <c r="B730" s="121"/>
      <c r="C730" s="120"/>
      <c r="D730" s="120"/>
      <c r="E730" s="126" t="str">
        <f>IF(Tabela3[[#This Row],[Descrição]]="","",VLOOKUP(Tabela3[[#This Row],[Descrição]],Tabela4[[Descrição]:[Tipo Receita/ Gasto]],2,FALSE))</f>
        <v/>
      </c>
      <c r="F730" s="122"/>
      <c r="G730" s="113" t="str">
        <f>IF(Tabela3[[#This Row],[Valor]]="","",G729+F730)</f>
        <v/>
      </c>
      <c r="H730" s="121"/>
      <c r="I730" s="120"/>
    </row>
    <row r="731" spans="1:9" x14ac:dyDescent="0.25">
      <c r="A731" s="4">
        <f>YEAR(Tabela3[[#This Row],[Data]])</f>
        <v>1900</v>
      </c>
      <c r="B731" s="121"/>
      <c r="C731" s="120"/>
      <c r="D731" s="120"/>
      <c r="E731" s="126" t="str">
        <f>IF(Tabela3[[#This Row],[Descrição]]="","",VLOOKUP(Tabela3[[#This Row],[Descrição]],Tabela4[[Descrição]:[Tipo Receita/ Gasto]],2,FALSE))</f>
        <v/>
      </c>
      <c r="F731" s="122"/>
      <c r="G731" s="113" t="str">
        <f>IF(Tabela3[[#This Row],[Valor]]="","",G730+F731)</f>
        <v/>
      </c>
      <c r="H731" s="121"/>
      <c r="I731" s="120"/>
    </row>
    <row r="732" spans="1:9" x14ac:dyDescent="0.25">
      <c r="A732" s="4">
        <f>YEAR(Tabela3[[#This Row],[Data]])</f>
        <v>1900</v>
      </c>
      <c r="B732" s="121"/>
      <c r="C732" s="120"/>
      <c r="D732" s="120"/>
      <c r="E732" s="126" t="str">
        <f>IF(Tabela3[[#This Row],[Descrição]]="","",VLOOKUP(Tabela3[[#This Row],[Descrição]],Tabela4[[Descrição]:[Tipo Receita/ Gasto]],2,FALSE))</f>
        <v/>
      </c>
      <c r="F732" s="122"/>
      <c r="G732" s="113" t="str">
        <f>IF(Tabela3[[#This Row],[Valor]]="","",G731+F732)</f>
        <v/>
      </c>
      <c r="H732" s="121"/>
      <c r="I732" s="120"/>
    </row>
    <row r="733" spans="1:9" x14ac:dyDescent="0.25">
      <c r="A733" s="4">
        <f>YEAR(Tabela3[[#This Row],[Data]])</f>
        <v>1900</v>
      </c>
      <c r="B733" s="121"/>
      <c r="C733" s="120"/>
      <c r="D733" s="120"/>
      <c r="E733" s="126" t="str">
        <f>IF(Tabela3[[#This Row],[Descrição]]="","",VLOOKUP(Tabela3[[#This Row],[Descrição]],Tabela4[[Descrição]:[Tipo Receita/ Gasto]],2,FALSE))</f>
        <v/>
      </c>
      <c r="F733" s="122"/>
      <c r="G733" s="113" t="str">
        <f>IF(Tabela3[[#This Row],[Valor]]="","",G732+F733)</f>
        <v/>
      </c>
      <c r="H733" s="121"/>
      <c r="I733" s="120"/>
    </row>
    <row r="734" spans="1:9" x14ac:dyDescent="0.25">
      <c r="A734" s="4">
        <f>YEAR(Tabela3[[#This Row],[Data]])</f>
        <v>1900</v>
      </c>
      <c r="B734" s="121"/>
      <c r="C734" s="120"/>
      <c r="D734" s="120"/>
      <c r="E734" s="126" t="str">
        <f>IF(Tabela3[[#This Row],[Descrição]]="","",VLOOKUP(Tabela3[[#This Row],[Descrição]],Tabela4[[Descrição]:[Tipo Receita/ Gasto]],2,FALSE))</f>
        <v/>
      </c>
      <c r="F734" s="122"/>
      <c r="G734" s="113" t="str">
        <f>IF(Tabela3[[#This Row],[Valor]]="","",G733+F734)</f>
        <v/>
      </c>
      <c r="H734" s="121"/>
      <c r="I734" s="120"/>
    </row>
    <row r="735" spans="1:9" x14ac:dyDescent="0.25">
      <c r="A735" s="4">
        <f>YEAR(Tabela3[[#This Row],[Data]])</f>
        <v>1900</v>
      </c>
      <c r="B735" s="121"/>
      <c r="C735" s="120"/>
      <c r="D735" s="120"/>
      <c r="E735" s="126" t="str">
        <f>IF(Tabela3[[#This Row],[Descrição]]="","",VLOOKUP(Tabela3[[#This Row],[Descrição]],Tabela4[[Descrição]:[Tipo Receita/ Gasto]],2,FALSE))</f>
        <v/>
      </c>
      <c r="F735" s="122"/>
      <c r="G735" s="113" t="str">
        <f>IF(Tabela3[[#This Row],[Valor]]="","",G734+F735)</f>
        <v/>
      </c>
      <c r="H735" s="121"/>
      <c r="I735" s="120"/>
    </row>
    <row r="736" spans="1:9" x14ac:dyDescent="0.25">
      <c r="A736" s="4">
        <f>YEAR(Tabela3[[#This Row],[Data]])</f>
        <v>1900</v>
      </c>
      <c r="B736" s="121"/>
      <c r="C736" s="120"/>
      <c r="D736" s="120"/>
      <c r="E736" s="126" t="str">
        <f>IF(Tabela3[[#This Row],[Descrição]]="","",VLOOKUP(Tabela3[[#This Row],[Descrição]],Tabela4[[Descrição]:[Tipo Receita/ Gasto]],2,FALSE))</f>
        <v/>
      </c>
      <c r="F736" s="122"/>
      <c r="G736" s="113" t="str">
        <f>IF(Tabela3[[#This Row],[Valor]]="","",G735+F736)</f>
        <v/>
      </c>
      <c r="H736" s="121"/>
      <c r="I736" s="120"/>
    </row>
    <row r="737" spans="1:9" x14ac:dyDescent="0.25">
      <c r="A737" s="4">
        <f>YEAR(Tabela3[[#This Row],[Data]])</f>
        <v>1900</v>
      </c>
      <c r="B737" s="121"/>
      <c r="C737" s="120"/>
      <c r="D737" s="120"/>
      <c r="E737" s="126" t="str">
        <f>IF(Tabela3[[#This Row],[Descrição]]="","",VLOOKUP(Tabela3[[#This Row],[Descrição]],Tabela4[[Descrição]:[Tipo Receita/ Gasto]],2,FALSE))</f>
        <v/>
      </c>
      <c r="F737" s="122"/>
      <c r="G737" s="113" t="str">
        <f>IF(Tabela3[[#This Row],[Valor]]="","",G736+F737)</f>
        <v/>
      </c>
      <c r="H737" s="121"/>
      <c r="I737" s="120"/>
    </row>
    <row r="738" spans="1:9" x14ac:dyDescent="0.25">
      <c r="A738" s="4">
        <f>YEAR(Tabela3[[#This Row],[Data]])</f>
        <v>1900</v>
      </c>
      <c r="B738" s="121"/>
      <c r="C738" s="120"/>
      <c r="D738" s="120"/>
      <c r="E738" s="126" t="str">
        <f>IF(Tabela3[[#This Row],[Descrição]]="","",VLOOKUP(Tabela3[[#This Row],[Descrição]],Tabela4[[Descrição]:[Tipo Receita/ Gasto]],2,FALSE))</f>
        <v/>
      </c>
      <c r="F738" s="122"/>
      <c r="G738" s="113" t="str">
        <f>IF(Tabela3[[#This Row],[Valor]]="","",G737+F738)</f>
        <v/>
      </c>
      <c r="H738" s="121"/>
      <c r="I738" s="120"/>
    </row>
    <row r="739" spans="1:9" x14ac:dyDescent="0.25">
      <c r="A739" s="4">
        <f>YEAR(Tabela3[[#This Row],[Data]])</f>
        <v>1900</v>
      </c>
      <c r="B739" s="121"/>
      <c r="C739" s="120"/>
      <c r="D739" s="120"/>
      <c r="E739" s="126" t="str">
        <f>IF(Tabela3[[#This Row],[Descrição]]="","",VLOOKUP(Tabela3[[#This Row],[Descrição]],Tabela4[[Descrição]:[Tipo Receita/ Gasto]],2,FALSE))</f>
        <v/>
      </c>
      <c r="F739" s="122"/>
      <c r="G739" s="113" t="str">
        <f>IF(Tabela3[[#This Row],[Valor]]="","",G738+F739)</f>
        <v/>
      </c>
      <c r="H739" s="121"/>
      <c r="I739" s="120"/>
    </row>
    <row r="740" spans="1:9" x14ac:dyDescent="0.25">
      <c r="A740" s="4">
        <f>YEAR(Tabela3[[#This Row],[Data]])</f>
        <v>1900</v>
      </c>
      <c r="B740" s="121"/>
      <c r="C740" s="120"/>
      <c r="D740" s="120"/>
      <c r="E740" s="126" t="str">
        <f>IF(Tabela3[[#This Row],[Descrição]]="","",VLOOKUP(Tabela3[[#This Row],[Descrição]],Tabela4[[Descrição]:[Tipo Receita/ Gasto]],2,FALSE))</f>
        <v/>
      </c>
      <c r="F740" s="122"/>
      <c r="G740" s="113" t="str">
        <f>IF(Tabela3[[#This Row],[Valor]]="","",G739+F740)</f>
        <v/>
      </c>
      <c r="H740" s="121"/>
      <c r="I740" s="120"/>
    </row>
    <row r="741" spans="1:9" x14ac:dyDescent="0.25">
      <c r="A741" s="4">
        <f>YEAR(Tabela3[[#This Row],[Data]])</f>
        <v>1900</v>
      </c>
      <c r="B741" s="121"/>
      <c r="C741" s="120"/>
      <c r="D741" s="120"/>
      <c r="E741" s="126" t="str">
        <f>IF(Tabela3[[#This Row],[Descrição]]="","",VLOOKUP(Tabela3[[#This Row],[Descrição]],Tabela4[[Descrição]:[Tipo Receita/ Gasto]],2,FALSE))</f>
        <v/>
      </c>
      <c r="F741" s="122"/>
      <c r="G741" s="113" t="str">
        <f>IF(Tabela3[[#This Row],[Valor]]="","",G740+F741)</f>
        <v/>
      </c>
      <c r="H741" s="121"/>
      <c r="I741" s="120"/>
    </row>
    <row r="742" spans="1:9" x14ac:dyDescent="0.25">
      <c r="A742" s="4">
        <f>YEAR(Tabela3[[#This Row],[Data]])</f>
        <v>1900</v>
      </c>
      <c r="B742" s="121"/>
      <c r="C742" s="120"/>
      <c r="D742" s="120"/>
      <c r="E742" s="126" t="str">
        <f>IF(Tabela3[[#This Row],[Descrição]]="","",VLOOKUP(Tabela3[[#This Row],[Descrição]],Tabela4[[Descrição]:[Tipo Receita/ Gasto]],2,FALSE))</f>
        <v/>
      </c>
      <c r="F742" s="122"/>
      <c r="G742" s="113" t="str">
        <f>IF(Tabela3[[#This Row],[Valor]]="","",G741+F742)</f>
        <v/>
      </c>
      <c r="H742" s="121"/>
      <c r="I742" s="120"/>
    </row>
    <row r="743" spans="1:9" x14ac:dyDescent="0.25">
      <c r="A743" s="4">
        <f>YEAR(Tabela3[[#This Row],[Data]])</f>
        <v>1900</v>
      </c>
      <c r="B743" s="121"/>
      <c r="C743" s="120"/>
      <c r="D743" s="120"/>
      <c r="E743" s="126" t="str">
        <f>IF(Tabela3[[#This Row],[Descrição]]="","",VLOOKUP(Tabela3[[#This Row],[Descrição]],Tabela4[[Descrição]:[Tipo Receita/ Gasto]],2,FALSE))</f>
        <v/>
      </c>
      <c r="F743" s="122"/>
      <c r="G743" s="113" t="str">
        <f>IF(Tabela3[[#This Row],[Valor]]="","",G742+F743)</f>
        <v/>
      </c>
      <c r="H743" s="121"/>
      <c r="I743" s="120"/>
    </row>
    <row r="744" spans="1:9" x14ac:dyDescent="0.25">
      <c r="A744" s="4">
        <f>YEAR(Tabela3[[#This Row],[Data]])</f>
        <v>1900</v>
      </c>
      <c r="B744" s="121"/>
      <c r="C744" s="120"/>
      <c r="D744" s="120"/>
      <c r="E744" s="126" t="str">
        <f>IF(Tabela3[[#This Row],[Descrição]]="","",VLOOKUP(Tabela3[[#This Row],[Descrição]],Tabela4[[Descrição]:[Tipo Receita/ Gasto]],2,FALSE))</f>
        <v/>
      </c>
      <c r="F744" s="122"/>
      <c r="G744" s="113" t="str">
        <f>IF(Tabela3[[#This Row],[Valor]]="","",G743+F744)</f>
        <v/>
      </c>
      <c r="H744" s="121"/>
      <c r="I744" s="120"/>
    </row>
    <row r="745" spans="1:9" x14ac:dyDescent="0.25">
      <c r="A745" s="4">
        <f>YEAR(Tabela3[[#This Row],[Data]])</f>
        <v>1900</v>
      </c>
      <c r="B745" s="121"/>
      <c r="C745" s="120"/>
      <c r="D745" s="120"/>
      <c r="E745" s="126" t="str">
        <f>IF(Tabela3[[#This Row],[Descrição]]="","",VLOOKUP(Tabela3[[#This Row],[Descrição]],Tabela4[[Descrição]:[Tipo Receita/ Gasto]],2,FALSE))</f>
        <v/>
      </c>
      <c r="F745" s="122"/>
      <c r="G745" s="113" t="str">
        <f>IF(Tabela3[[#This Row],[Valor]]="","",G744+F745)</f>
        <v/>
      </c>
      <c r="H745" s="121"/>
      <c r="I745" s="120"/>
    </row>
    <row r="746" spans="1:9" x14ac:dyDescent="0.25">
      <c r="A746" s="4">
        <f>YEAR(Tabela3[[#This Row],[Data]])</f>
        <v>1900</v>
      </c>
      <c r="B746" s="121"/>
      <c r="C746" s="120"/>
      <c r="D746" s="120"/>
      <c r="E746" s="126" t="str">
        <f>IF(Tabela3[[#This Row],[Descrição]]="","",VLOOKUP(Tabela3[[#This Row],[Descrição]],Tabela4[[Descrição]:[Tipo Receita/ Gasto]],2,FALSE))</f>
        <v/>
      </c>
      <c r="F746" s="122"/>
      <c r="G746" s="113" t="str">
        <f>IF(Tabela3[[#This Row],[Valor]]="","",G745+F746)</f>
        <v/>
      </c>
      <c r="H746" s="121"/>
      <c r="I746" s="120"/>
    </row>
    <row r="747" spans="1:9" x14ac:dyDescent="0.25">
      <c r="A747" s="4">
        <f>YEAR(Tabela3[[#This Row],[Data]])</f>
        <v>1900</v>
      </c>
      <c r="B747" s="121"/>
      <c r="C747" s="120"/>
      <c r="D747" s="120"/>
      <c r="E747" s="126" t="str">
        <f>IF(Tabela3[[#This Row],[Descrição]]="","",VLOOKUP(Tabela3[[#This Row],[Descrição]],Tabela4[[Descrição]:[Tipo Receita/ Gasto]],2,FALSE))</f>
        <v/>
      </c>
      <c r="F747" s="122"/>
      <c r="G747" s="113" t="str">
        <f>IF(Tabela3[[#This Row],[Valor]]="","",G746+F747)</f>
        <v/>
      </c>
      <c r="H747" s="121"/>
      <c r="I747" s="120"/>
    </row>
    <row r="748" spans="1:9" x14ac:dyDescent="0.25">
      <c r="A748" s="4">
        <f>YEAR(Tabela3[[#This Row],[Data]])</f>
        <v>1900</v>
      </c>
      <c r="B748" s="121"/>
      <c r="C748" s="120"/>
      <c r="D748" s="120"/>
      <c r="E748" s="126" t="str">
        <f>IF(Tabela3[[#This Row],[Descrição]]="","",VLOOKUP(Tabela3[[#This Row],[Descrição]],Tabela4[[Descrição]:[Tipo Receita/ Gasto]],2,FALSE))</f>
        <v/>
      </c>
      <c r="F748" s="122"/>
      <c r="G748" s="113" t="str">
        <f>IF(Tabela3[[#This Row],[Valor]]="","",G747+F748)</f>
        <v/>
      </c>
      <c r="H748" s="121"/>
      <c r="I748" s="120"/>
    </row>
    <row r="749" spans="1:9" x14ac:dyDescent="0.25">
      <c r="A749" s="4">
        <f>YEAR(Tabela3[[#This Row],[Data]])</f>
        <v>1900</v>
      </c>
      <c r="B749" s="121"/>
      <c r="C749" s="120"/>
      <c r="D749" s="120"/>
      <c r="E749" s="126" t="str">
        <f>IF(Tabela3[[#This Row],[Descrição]]="","",VLOOKUP(Tabela3[[#This Row],[Descrição]],Tabela4[[Descrição]:[Tipo Receita/ Gasto]],2,FALSE))</f>
        <v/>
      </c>
      <c r="F749" s="122"/>
      <c r="G749" s="113" t="str">
        <f>IF(Tabela3[[#This Row],[Valor]]="","",G748+F749)</f>
        <v/>
      </c>
      <c r="H749" s="121"/>
      <c r="I749" s="120"/>
    </row>
    <row r="750" spans="1:9" x14ac:dyDescent="0.25">
      <c r="A750" s="4">
        <f>YEAR(Tabela3[[#This Row],[Data]])</f>
        <v>1900</v>
      </c>
      <c r="B750" s="121"/>
      <c r="C750" s="120"/>
      <c r="D750" s="120"/>
      <c r="E750" s="126" t="str">
        <f>IF(Tabela3[[#This Row],[Descrição]]="","",VLOOKUP(Tabela3[[#This Row],[Descrição]],Tabela4[[Descrição]:[Tipo Receita/ Gasto]],2,FALSE))</f>
        <v/>
      </c>
      <c r="F750" s="122"/>
      <c r="G750" s="113" t="str">
        <f>IF(Tabela3[[#This Row],[Valor]]="","",G749+F750)</f>
        <v/>
      </c>
      <c r="H750" s="121"/>
      <c r="I750" s="120"/>
    </row>
    <row r="751" spans="1:9" x14ac:dyDescent="0.25">
      <c r="A751" s="4">
        <f>YEAR(Tabela3[[#This Row],[Data]])</f>
        <v>1900</v>
      </c>
      <c r="B751" s="121"/>
      <c r="C751" s="120"/>
      <c r="D751" s="120"/>
      <c r="E751" s="126" t="str">
        <f>IF(Tabela3[[#This Row],[Descrição]]="","",VLOOKUP(Tabela3[[#This Row],[Descrição]],Tabela4[[Descrição]:[Tipo Receita/ Gasto]],2,FALSE))</f>
        <v/>
      </c>
      <c r="F751" s="122"/>
      <c r="G751" s="113" t="str">
        <f>IF(Tabela3[[#This Row],[Valor]]="","",G750+F751)</f>
        <v/>
      </c>
      <c r="H751" s="121"/>
      <c r="I751" s="120"/>
    </row>
    <row r="752" spans="1:9" x14ac:dyDescent="0.25">
      <c r="A752" s="4">
        <f>YEAR(Tabela3[[#This Row],[Data]])</f>
        <v>1900</v>
      </c>
      <c r="B752" s="121"/>
      <c r="C752" s="120"/>
      <c r="D752" s="120"/>
      <c r="E752" s="126" t="str">
        <f>IF(Tabela3[[#This Row],[Descrição]]="","",VLOOKUP(Tabela3[[#This Row],[Descrição]],Tabela4[[Descrição]:[Tipo Receita/ Gasto]],2,FALSE))</f>
        <v/>
      </c>
      <c r="F752" s="122"/>
      <c r="G752" s="113" t="str">
        <f>IF(Tabela3[[#This Row],[Valor]]="","",G751+F752)</f>
        <v/>
      </c>
      <c r="H752" s="121"/>
      <c r="I752" s="120"/>
    </row>
    <row r="753" spans="1:9" x14ac:dyDescent="0.25">
      <c r="A753" s="4">
        <f>YEAR(Tabela3[[#This Row],[Data]])</f>
        <v>1900</v>
      </c>
      <c r="B753" s="121"/>
      <c r="C753" s="120"/>
      <c r="D753" s="120"/>
      <c r="E753" s="126" t="str">
        <f>IF(Tabela3[[#This Row],[Descrição]]="","",VLOOKUP(Tabela3[[#This Row],[Descrição]],Tabela4[[Descrição]:[Tipo Receita/ Gasto]],2,FALSE))</f>
        <v/>
      </c>
      <c r="F753" s="122"/>
      <c r="G753" s="113" t="str">
        <f>IF(Tabela3[[#This Row],[Valor]]="","",G752+F753)</f>
        <v/>
      </c>
      <c r="H753" s="121"/>
      <c r="I753" s="120"/>
    </row>
    <row r="754" spans="1:9" x14ac:dyDescent="0.25">
      <c r="A754" s="4">
        <f>YEAR(Tabela3[[#This Row],[Data]])</f>
        <v>1900</v>
      </c>
      <c r="B754" s="121"/>
      <c r="C754" s="120"/>
      <c r="D754" s="120"/>
      <c r="E754" s="126" t="str">
        <f>IF(Tabela3[[#This Row],[Descrição]]="","",VLOOKUP(Tabela3[[#This Row],[Descrição]],Tabela4[[Descrição]:[Tipo Receita/ Gasto]],2,FALSE))</f>
        <v/>
      </c>
      <c r="F754" s="122"/>
      <c r="G754" s="113" t="str">
        <f>IF(Tabela3[[#This Row],[Valor]]="","",G753+F754)</f>
        <v/>
      </c>
      <c r="H754" s="121"/>
      <c r="I754" s="120"/>
    </row>
    <row r="755" spans="1:9" x14ac:dyDescent="0.25">
      <c r="A755" s="4">
        <f>YEAR(Tabela3[[#This Row],[Data]])</f>
        <v>1900</v>
      </c>
      <c r="B755" s="121"/>
      <c r="C755" s="120"/>
      <c r="D755" s="120"/>
      <c r="E755" s="126" t="str">
        <f>IF(Tabela3[[#This Row],[Descrição]]="","",VLOOKUP(Tabela3[[#This Row],[Descrição]],Tabela4[[Descrição]:[Tipo Receita/ Gasto]],2,FALSE))</f>
        <v/>
      </c>
      <c r="F755" s="122"/>
      <c r="G755" s="113" t="str">
        <f>IF(Tabela3[[#This Row],[Valor]]="","",G754+F755)</f>
        <v/>
      </c>
      <c r="H755" s="121"/>
      <c r="I755" s="120"/>
    </row>
    <row r="756" spans="1:9" x14ac:dyDescent="0.25">
      <c r="A756" s="4">
        <f>YEAR(Tabela3[[#This Row],[Data]])</f>
        <v>1900</v>
      </c>
      <c r="B756" s="121"/>
      <c r="C756" s="120"/>
      <c r="D756" s="120"/>
      <c r="E756" s="126" t="str">
        <f>IF(Tabela3[[#This Row],[Descrição]]="","",VLOOKUP(Tabela3[[#This Row],[Descrição]],Tabela4[[Descrição]:[Tipo Receita/ Gasto]],2,FALSE))</f>
        <v/>
      </c>
      <c r="F756" s="122"/>
      <c r="G756" s="113" t="str">
        <f>IF(Tabela3[[#This Row],[Valor]]="","",G755+F756)</f>
        <v/>
      </c>
      <c r="H756" s="121"/>
      <c r="I756" s="120"/>
    </row>
    <row r="757" spans="1:9" x14ac:dyDescent="0.25">
      <c r="A757" s="4">
        <f>YEAR(Tabela3[[#This Row],[Data]])</f>
        <v>1900</v>
      </c>
      <c r="B757" s="121"/>
      <c r="C757" s="120"/>
      <c r="D757" s="120"/>
      <c r="E757" s="126" t="str">
        <f>IF(Tabela3[[#This Row],[Descrição]]="","",VLOOKUP(Tabela3[[#This Row],[Descrição]],Tabela4[[Descrição]:[Tipo Receita/ Gasto]],2,FALSE))</f>
        <v/>
      </c>
      <c r="F757" s="122"/>
      <c r="G757" s="113" t="str">
        <f>IF(Tabela3[[#This Row],[Valor]]="","",G756+F757)</f>
        <v/>
      </c>
      <c r="H757" s="121"/>
      <c r="I757" s="120"/>
    </row>
    <row r="758" spans="1:9" x14ac:dyDescent="0.25">
      <c r="A758" s="4">
        <f>YEAR(Tabela3[[#This Row],[Data]])</f>
        <v>1900</v>
      </c>
      <c r="B758" s="121"/>
      <c r="C758" s="120"/>
      <c r="D758" s="120"/>
      <c r="E758" s="126" t="str">
        <f>IF(Tabela3[[#This Row],[Descrição]]="","",VLOOKUP(Tabela3[[#This Row],[Descrição]],Tabela4[[Descrição]:[Tipo Receita/ Gasto]],2,FALSE))</f>
        <v/>
      </c>
      <c r="F758" s="122"/>
      <c r="G758" s="113" t="str">
        <f>IF(Tabela3[[#This Row],[Valor]]="","",G757+F758)</f>
        <v/>
      </c>
      <c r="H758" s="121"/>
      <c r="I758" s="120"/>
    </row>
    <row r="759" spans="1:9" x14ac:dyDescent="0.25">
      <c r="A759" s="4">
        <f>YEAR(Tabela3[[#This Row],[Data]])</f>
        <v>1900</v>
      </c>
      <c r="B759" s="121"/>
      <c r="C759" s="120"/>
      <c r="D759" s="120"/>
      <c r="E759" s="126" t="str">
        <f>IF(Tabela3[[#This Row],[Descrição]]="","",VLOOKUP(Tabela3[[#This Row],[Descrição]],Tabela4[[Descrição]:[Tipo Receita/ Gasto]],2,FALSE))</f>
        <v/>
      </c>
      <c r="F759" s="122"/>
      <c r="G759" s="113" t="str">
        <f>IF(Tabela3[[#This Row],[Valor]]="","",G758+F759)</f>
        <v/>
      </c>
      <c r="H759" s="121"/>
      <c r="I759" s="120"/>
    </row>
    <row r="760" spans="1:9" x14ac:dyDescent="0.25">
      <c r="A760" s="4">
        <f>YEAR(Tabela3[[#This Row],[Data]])</f>
        <v>1900</v>
      </c>
      <c r="B760" s="121"/>
      <c r="C760" s="120"/>
      <c r="D760" s="120"/>
      <c r="E760" s="126" t="str">
        <f>IF(Tabela3[[#This Row],[Descrição]]="","",VLOOKUP(Tabela3[[#This Row],[Descrição]],Tabela4[[Descrição]:[Tipo Receita/ Gasto]],2,FALSE))</f>
        <v/>
      </c>
      <c r="F760" s="122"/>
      <c r="G760" s="113" t="str">
        <f>IF(Tabela3[[#This Row],[Valor]]="","",G759+F760)</f>
        <v/>
      </c>
      <c r="H760" s="121"/>
      <c r="I760" s="120"/>
    </row>
    <row r="761" spans="1:9" x14ac:dyDescent="0.25">
      <c r="A761" s="4">
        <f>YEAR(Tabela3[[#This Row],[Data]])</f>
        <v>1900</v>
      </c>
      <c r="B761" s="121"/>
      <c r="C761" s="120"/>
      <c r="D761" s="120"/>
      <c r="E761" s="126" t="str">
        <f>IF(Tabela3[[#This Row],[Descrição]]="","",VLOOKUP(Tabela3[[#This Row],[Descrição]],Tabela4[[Descrição]:[Tipo Receita/ Gasto]],2,FALSE))</f>
        <v/>
      </c>
      <c r="F761" s="122"/>
      <c r="G761" s="113" t="str">
        <f>IF(Tabela3[[#This Row],[Valor]]="","",G760+F761)</f>
        <v/>
      </c>
      <c r="H761" s="121"/>
      <c r="I761" s="120"/>
    </row>
    <row r="762" spans="1:9" x14ac:dyDescent="0.25">
      <c r="A762" s="4">
        <f>YEAR(Tabela3[[#This Row],[Data]])</f>
        <v>1900</v>
      </c>
      <c r="B762" s="121"/>
      <c r="C762" s="120"/>
      <c r="D762" s="120"/>
      <c r="E762" s="126" t="str">
        <f>IF(Tabela3[[#This Row],[Descrição]]="","",VLOOKUP(Tabela3[[#This Row],[Descrição]],Tabela4[[Descrição]:[Tipo Receita/ Gasto]],2,FALSE))</f>
        <v/>
      </c>
      <c r="F762" s="122"/>
      <c r="G762" s="113" t="str">
        <f>IF(Tabela3[[#This Row],[Valor]]="","",G761+F762)</f>
        <v/>
      </c>
      <c r="H762" s="121"/>
      <c r="I762" s="120"/>
    </row>
    <row r="763" spans="1:9" x14ac:dyDescent="0.25">
      <c r="A763" s="4">
        <f>YEAR(Tabela3[[#This Row],[Data]])</f>
        <v>1900</v>
      </c>
      <c r="B763" s="121"/>
      <c r="C763" s="120"/>
      <c r="D763" s="120"/>
      <c r="E763" s="126" t="str">
        <f>IF(Tabela3[[#This Row],[Descrição]]="","",VLOOKUP(Tabela3[[#This Row],[Descrição]],Tabela4[[Descrição]:[Tipo Receita/ Gasto]],2,FALSE))</f>
        <v/>
      </c>
      <c r="F763" s="122"/>
      <c r="G763" s="113" t="str">
        <f>IF(Tabela3[[#This Row],[Valor]]="","",G762+F763)</f>
        <v/>
      </c>
      <c r="H763" s="121"/>
      <c r="I763" s="120"/>
    </row>
    <row r="764" spans="1:9" x14ac:dyDescent="0.25">
      <c r="A764" s="4">
        <f>YEAR(Tabela3[[#This Row],[Data]])</f>
        <v>1900</v>
      </c>
      <c r="B764" s="121"/>
      <c r="C764" s="120"/>
      <c r="D764" s="120"/>
      <c r="E764" s="126" t="str">
        <f>IF(Tabela3[[#This Row],[Descrição]]="","",VLOOKUP(Tabela3[[#This Row],[Descrição]],Tabela4[[Descrição]:[Tipo Receita/ Gasto]],2,FALSE))</f>
        <v/>
      </c>
      <c r="F764" s="122"/>
      <c r="G764" s="113" t="str">
        <f>IF(Tabela3[[#This Row],[Valor]]="","",G763+F764)</f>
        <v/>
      </c>
      <c r="H764" s="121"/>
      <c r="I764" s="120"/>
    </row>
    <row r="765" spans="1:9" x14ac:dyDescent="0.25">
      <c r="A765" s="4">
        <f>YEAR(Tabela3[[#This Row],[Data]])</f>
        <v>1900</v>
      </c>
      <c r="B765" s="121"/>
      <c r="C765" s="120"/>
      <c r="D765" s="120"/>
      <c r="E765" s="126" t="str">
        <f>IF(Tabela3[[#This Row],[Descrição]]="","",VLOOKUP(Tabela3[[#This Row],[Descrição]],Tabela4[[Descrição]:[Tipo Receita/ Gasto]],2,FALSE))</f>
        <v/>
      </c>
      <c r="F765" s="122"/>
      <c r="G765" s="113" t="str">
        <f>IF(Tabela3[[#This Row],[Valor]]="","",G764+F765)</f>
        <v/>
      </c>
      <c r="H765" s="121"/>
      <c r="I765" s="120"/>
    </row>
    <row r="766" spans="1:9" x14ac:dyDescent="0.25">
      <c r="A766" s="4">
        <f>YEAR(Tabela3[[#This Row],[Data]])</f>
        <v>1900</v>
      </c>
      <c r="B766" s="121"/>
      <c r="C766" s="120"/>
      <c r="D766" s="120"/>
      <c r="E766" s="126" t="str">
        <f>IF(Tabela3[[#This Row],[Descrição]]="","",VLOOKUP(Tabela3[[#This Row],[Descrição]],Tabela4[[Descrição]:[Tipo Receita/ Gasto]],2,FALSE))</f>
        <v/>
      </c>
      <c r="F766" s="122"/>
      <c r="G766" s="113" t="str">
        <f>IF(Tabela3[[#This Row],[Valor]]="","",G765+F766)</f>
        <v/>
      </c>
      <c r="H766" s="121"/>
      <c r="I766" s="120"/>
    </row>
    <row r="767" spans="1:9" x14ac:dyDescent="0.25">
      <c r="A767" s="4">
        <f>YEAR(Tabela3[[#This Row],[Data]])</f>
        <v>1900</v>
      </c>
      <c r="B767" s="121"/>
      <c r="C767" s="120"/>
      <c r="D767" s="120"/>
      <c r="E767" s="126" t="str">
        <f>IF(Tabela3[[#This Row],[Descrição]]="","",VLOOKUP(Tabela3[[#This Row],[Descrição]],Tabela4[[Descrição]:[Tipo Receita/ Gasto]],2,FALSE))</f>
        <v/>
      </c>
      <c r="F767" s="122"/>
      <c r="G767" s="113" t="str">
        <f>IF(Tabela3[[#This Row],[Valor]]="","",G766+F767)</f>
        <v/>
      </c>
      <c r="H767" s="121"/>
      <c r="I767" s="120"/>
    </row>
    <row r="768" spans="1:9" x14ac:dyDescent="0.25">
      <c r="A768" s="4">
        <f>YEAR(Tabela3[[#This Row],[Data]])</f>
        <v>1900</v>
      </c>
      <c r="B768" s="121"/>
      <c r="C768" s="120"/>
      <c r="D768" s="120"/>
      <c r="E768" s="126" t="str">
        <f>IF(Tabela3[[#This Row],[Descrição]]="","",VLOOKUP(Tabela3[[#This Row],[Descrição]],Tabela4[[Descrição]:[Tipo Receita/ Gasto]],2,FALSE))</f>
        <v/>
      </c>
      <c r="F768" s="122"/>
      <c r="G768" s="113" t="str">
        <f>IF(Tabela3[[#This Row],[Valor]]="","",G767+F768)</f>
        <v/>
      </c>
      <c r="H768" s="121"/>
      <c r="I768" s="120"/>
    </row>
    <row r="769" spans="1:9" x14ac:dyDescent="0.25">
      <c r="A769" s="4">
        <f>YEAR(Tabela3[[#This Row],[Data]])</f>
        <v>1900</v>
      </c>
      <c r="B769" s="121"/>
      <c r="C769" s="120"/>
      <c r="D769" s="120"/>
      <c r="E769" s="126" t="str">
        <f>IF(Tabela3[[#This Row],[Descrição]]="","",VLOOKUP(Tabela3[[#This Row],[Descrição]],Tabela4[[Descrição]:[Tipo Receita/ Gasto]],2,FALSE))</f>
        <v/>
      </c>
      <c r="F769" s="122"/>
      <c r="G769" s="113" t="str">
        <f>IF(Tabela3[[#This Row],[Valor]]="","",G768+F769)</f>
        <v/>
      </c>
      <c r="H769" s="121"/>
      <c r="I769" s="120"/>
    </row>
    <row r="770" spans="1:9" x14ac:dyDescent="0.25">
      <c r="A770" s="4">
        <f>YEAR(Tabela3[[#This Row],[Data]])</f>
        <v>1900</v>
      </c>
      <c r="B770" s="121"/>
      <c r="C770" s="120"/>
      <c r="D770" s="120"/>
      <c r="E770" s="126" t="str">
        <f>IF(Tabela3[[#This Row],[Descrição]]="","",VLOOKUP(Tabela3[[#This Row],[Descrição]],Tabela4[[Descrição]:[Tipo Receita/ Gasto]],2,FALSE))</f>
        <v/>
      </c>
      <c r="F770" s="122"/>
      <c r="G770" s="113" t="str">
        <f>IF(Tabela3[[#This Row],[Valor]]="","",G769+F770)</f>
        <v/>
      </c>
      <c r="H770" s="121"/>
      <c r="I770" s="120"/>
    </row>
    <row r="771" spans="1:9" x14ac:dyDescent="0.25">
      <c r="A771" s="4">
        <f>YEAR(Tabela3[[#This Row],[Data]])</f>
        <v>1900</v>
      </c>
      <c r="B771" s="121"/>
      <c r="C771" s="120"/>
      <c r="D771" s="120"/>
      <c r="E771" s="126" t="str">
        <f>IF(Tabela3[[#This Row],[Descrição]]="","",VLOOKUP(Tabela3[[#This Row],[Descrição]],Tabela4[[Descrição]:[Tipo Receita/ Gasto]],2,FALSE))</f>
        <v/>
      </c>
      <c r="F771" s="122"/>
      <c r="G771" s="113" t="str">
        <f>IF(Tabela3[[#This Row],[Valor]]="","",G770+F771)</f>
        <v/>
      </c>
      <c r="H771" s="121"/>
      <c r="I771" s="120"/>
    </row>
    <row r="772" spans="1:9" x14ac:dyDescent="0.25">
      <c r="A772" s="4">
        <f>YEAR(Tabela3[[#This Row],[Data]])</f>
        <v>1900</v>
      </c>
      <c r="B772" s="121"/>
      <c r="C772" s="120"/>
      <c r="D772" s="120"/>
      <c r="E772" s="126" t="str">
        <f>IF(Tabela3[[#This Row],[Descrição]]="","",VLOOKUP(Tabela3[[#This Row],[Descrição]],Tabela4[[Descrição]:[Tipo Receita/ Gasto]],2,FALSE))</f>
        <v/>
      </c>
      <c r="F772" s="122"/>
      <c r="G772" s="113" t="str">
        <f>IF(Tabela3[[#This Row],[Valor]]="","",G771+F772)</f>
        <v/>
      </c>
      <c r="H772" s="121"/>
      <c r="I772" s="120"/>
    </row>
    <row r="773" spans="1:9" x14ac:dyDescent="0.25">
      <c r="A773" s="4">
        <f>YEAR(Tabela3[[#This Row],[Data]])</f>
        <v>1900</v>
      </c>
      <c r="B773" s="121"/>
      <c r="C773" s="120"/>
      <c r="D773" s="120"/>
      <c r="E773" s="126" t="str">
        <f>IF(Tabela3[[#This Row],[Descrição]]="","",VLOOKUP(Tabela3[[#This Row],[Descrição]],Tabela4[[Descrição]:[Tipo Receita/ Gasto]],2,FALSE))</f>
        <v/>
      </c>
      <c r="F773" s="122"/>
      <c r="G773" s="113" t="str">
        <f>IF(Tabela3[[#This Row],[Valor]]="","",G772+F773)</f>
        <v/>
      </c>
      <c r="H773" s="121"/>
      <c r="I773" s="120"/>
    </row>
    <row r="774" spans="1:9" x14ac:dyDescent="0.25">
      <c r="A774" s="4">
        <f>YEAR(Tabela3[[#This Row],[Data]])</f>
        <v>1900</v>
      </c>
      <c r="B774" s="121"/>
      <c r="C774" s="120"/>
      <c r="D774" s="120"/>
      <c r="E774" s="126" t="str">
        <f>IF(Tabela3[[#This Row],[Descrição]]="","",VLOOKUP(Tabela3[[#This Row],[Descrição]],Tabela4[[Descrição]:[Tipo Receita/ Gasto]],2,FALSE))</f>
        <v/>
      </c>
      <c r="F774" s="122"/>
      <c r="G774" s="113" t="str">
        <f>IF(Tabela3[[#This Row],[Valor]]="","",G773+F774)</f>
        <v/>
      </c>
      <c r="H774" s="121"/>
      <c r="I774" s="120"/>
    </row>
    <row r="775" spans="1:9" x14ac:dyDescent="0.25">
      <c r="A775" s="4">
        <f>YEAR(Tabela3[[#This Row],[Data]])</f>
        <v>1900</v>
      </c>
      <c r="B775" s="121"/>
      <c r="C775" s="120"/>
      <c r="D775" s="120"/>
      <c r="E775" s="126" t="str">
        <f>IF(Tabela3[[#This Row],[Descrição]]="","",VLOOKUP(Tabela3[[#This Row],[Descrição]],Tabela4[[Descrição]:[Tipo Receita/ Gasto]],2,FALSE))</f>
        <v/>
      </c>
      <c r="F775" s="122"/>
      <c r="G775" s="113" t="str">
        <f>IF(Tabela3[[#This Row],[Valor]]="","",G774+F775)</f>
        <v/>
      </c>
      <c r="H775" s="121"/>
      <c r="I775" s="120"/>
    </row>
    <row r="776" spans="1:9" x14ac:dyDescent="0.25">
      <c r="A776" s="4">
        <f>YEAR(Tabela3[[#This Row],[Data]])</f>
        <v>1900</v>
      </c>
      <c r="B776" s="121"/>
      <c r="C776" s="120"/>
      <c r="D776" s="120"/>
      <c r="E776" s="126" t="str">
        <f>IF(Tabela3[[#This Row],[Descrição]]="","",VLOOKUP(Tabela3[[#This Row],[Descrição]],Tabela4[[Descrição]:[Tipo Receita/ Gasto]],2,FALSE))</f>
        <v/>
      </c>
      <c r="F776" s="122"/>
      <c r="G776" s="113" t="str">
        <f>IF(Tabela3[[#This Row],[Valor]]="","",G775+F776)</f>
        <v/>
      </c>
      <c r="H776" s="121"/>
      <c r="I776" s="120"/>
    </row>
    <row r="777" spans="1:9" x14ac:dyDescent="0.25">
      <c r="A777" s="4">
        <f>YEAR(Tabela3[[#This Row],[Data]])</f>
        <v>1900</v>
      </c>
      <c r="B777" s="121"/>
      <c r="C777" s="120"/>
      <c r="D777" s="120"/>
      <c r="E777" s="126" t="str">
        <f>IF(Tabela3[[#This Row],[Descrição]]="","",VLOOKUP(Tabela3[[#This Row],[Descrição]],Tabela4[[Descrição]:[Tipo Receita/ Gasto]],2,FALSE))</f>
        <v/>
      </c>
      <c r="F777" s="122"/>
      <c r="G777" s="113" t="str">
        <f>IF(Tabela3[[#This Row],[Valor]]="","",G776+F777)</f>
        <v/>
      </c>
      <c r="H777" s="121"/>
      <c r="I777" s="120"/>
    </row>
    <row r="778" spans="1:9" x14ac:dyDescent="0.25">
      <c r="A778" s="4">
        <f>YEAR(Tabela3[[#This Row],[Data]])</f>
        <v>1900</v>
      </c>
      <c r="B778" s="121"/>
      <c r="C778" s="120"/>
      <c r="D778" s="120"/>
      <c r="E778" s="126" t="str">
        <f>IF(Tabela3[[#This Row],[Descrição]]="","",VLOOKUP(Tabela3[[#This Row],[Descrição]],Tabela4[[Descrição]:[Tipo Receita/ Gasto]],2,FALSE))</f>
        <v/>
      </c>
      <c r="F778" s="122"/>
      <c r="G778" s="113" t="str">
        <f>IF(Tabela3[[#This Row],[Valor]]="","",G777+F778)</f>
        <v/>
      </c>
      <c r="H778" s="121"/>
      <c r="I778" s="120"/>
    </row>
    <row r="779" spans="1:9" x14ac:dyDescent="0.25">
      <c r="A779" s="4">
        <f>YEAR(Tabela3[[#This Row],[Data]])</f>
        <v>1900</v>
      </c>
      <c r="B779" s="121"/>
      <c r="C779" s="120"/>
      <c r="D779" s="120"/>
      <c r="E779" s="126" t="str">
        <f>IF(Tabela3[[#This Row],[Descrição]]="","",VLOOKUP(Tabela3[[#This Row],[Descrição]],Tabela4[[Descrição]:[Tipo Receita/ Gasto]],2,FALSE))</f>
        <v/>
      </c>
      <c r="F779" s="122"/>
      <c r="G779" s="113" t="str">
        <f>IF(Tabela3[[#This Row],[Valor]]="","",G778+F779)</f>
        <v/>
      </c>
      <c r="H779" s="121"/>
      <c r="I779" s="120"/>
    </row>
    <row r="780" spans="1:9" x14ac:dyDescent="0.25">
      <c r="A780" s="4">
        <f>YEAR(Tabela3[[#This Row],[Data]])</f>
        <v>1900</v>
      </c>
      <c r="B780" s="121"/>
      <c r="C780" s="120"/>
      <c r="D780" s="120"/>
      <c r="E780" s="126" t="str">
        <f>IF(Tabela3[[#This Row],[Descrição]]="","",VLOOKUP(Tabela3[[#This Row],[Descrição]],Tabela4[[Descrição]:[Tipo Receita/ Gasto]],2,FALSE))</f>
        <v/>
      </c>
      <c r="F780" s="122"/>
      <c r="G780" s="113" t="str">
        <f>IF(Tabela3[[#This Row],[Valor]]="","",G779+F780)</f>
        <v/>
      </c>
      <c r="H780" s="121"/>
      <c r="I780" s="120"/>
    </row>
    <row r="781" spans="1:9" x14ac:dyDescent="0.25">
      <c r="A781" s="4">
        <f>YEAR(Tabela3[[#This Row],[Data]])</f>
        <v>1900</v>
      </c>
      <c r="B781" s="121"/>
      <c r="C781" s="120"/>
      <c r="D781" s="120"/>
      <c r="E781" s="126" t="str">
        <f>IF(Tabela3[[#This Row],[Descrição]]="","",VLOOKUP(Tabela3[[#This Row],[Descrição]],Tabela4[[Descrição]:[Tipo Receita/ Gasto]],2,FALSE))</f>
        <v/>
      </c>
      <c r="F781" s="122"/>
      <c r="G781" s="113" t="str">
        <f>IF(Tabela3[[#This Row],[Valor]]="","",G780+F781)</f>
        <v/>
      </c>
      <c r="H781" s="121"/>
      <c r="I781" s="120"/>
    </row>
    <row r="782" spans="1:9" x14ac:dyDescent="0.25">
      <c r="A782" s="4">
        <f>YEAR(Tabela3[[#This Row],[Data]])</f>
        <v>1900</v>
      </c>
      <c r="B782" s="121"/>
      <c r="C782" s="120"/>
      <c r="D782" s="120"/>
      <c r="E782" s="126" t="str">
        <f>IF(Tabela3[[#This Row],[Descrição]]="","",VLOOKUP(Tabela3[[#This Row],[Descrição]],Tabela4[[Descrição]:[Tipo Receita/ Gasto]],2,FALSE))</f>
        <v/>
      </c>
      <c r="F782" s="122"/>
      <c r="G782" s="113" t="str">
        <f>IF(Tabela3[[#This Row],[Valor]]="","",G781+F782)</f>
        <v/>
      </c>
      <c r="H782" s="121"/>
      <c r="I782" s="120"/>
    </row>
    <row r="783" spans="1:9" x14ac:dyDescent="0.25">
      <c r="A783" s="4">
        <f>YEAR(Tabela3[[#This Row],[Data]])</f>
        <v>1900</v>
      </c>
      <c r="B783" s="121"/>
      <c r="C783" s="120"/>
      <c r="D783" s="120"/>
      <c r="E783" s="126" t="str">
        <f>IF(Tabela3[[#This Row],[Descrição]]="","",VLOOKUP(Tabela3[[#This Row],[Descrição]],Tabela4[[Descrição]:[Tipo Receita/ Gasto]],2,FALSE))</f>
        <v/>
      </c>
      <c r="F783" s="122"/>
      <c r="G783" s="113" t="str">
        <f>IF(Tabela3[[#This Row],[Valor]]="","",G782+F783)</f>
        <v/>
      </c>
      <c r="H783" s="121"/>
      <c r="I783" s="120"/>
    </row>
    <row r="784" spans="1:9" x14ac:dyDescent="0.25">
      <c r="A784" s="4">
        <f>YEAR(Tabela3[[#This Row],[Data]])</f>
        <v>1900</v>
      </c>
      <c r="B784" s="121"/>
      <c r="C784" s="120"/>
      <c r="D784" s="120"/>
      <c r="E784" s="126" t="str">
        <f>IF(Tabela3[[#This Row],[Descrição]]="","",VLOOKUP(Tabela3[[#This Row],[Descrição]],Tabela4[[Descrição]:[Tipo Receita/ Gasto]],2,FALSE))</f>
        <v/>
      </c>
      <c r="F784" s="122"/>
      <c r="G784" s="113" t="str">
        <f>IF(Tabela3[[#This Row],[Valor]]="","",G783+F784)</f>
        <v/>
      </c>
      <c r="H784" s="121"/>
      <c r="I784" s="120"/>
    </row>
    <row r="785" spans="1:9" x14ac:dyDescent="0.25">
      <c r="A785" s="4">
        <f>YEAR(Tabela3[[#This Row],[Data]])</f>
        <v>1900</v>
      </c>
      <c r="B785" s="121"/>
      <c r="C785" s="120"/>
      <c r="D785" s="120"/>
      <c r="E785" s="126" t="str">
        <f>IF(Tabela3[[#This Row],[Descrição]]="","",VLOOKUP(Tabela3[[#This Row],[Descrição]],Tabela4[[Descrição]:[Tipo Receita/ Gasto]],2,FALSE))</f>
        <v/>
      </c>
      <c r="F785" s="122"/>
      <c r="G785" s="113" t="str">
        <f>IF(Tabela3[[#This Row],[Valor]]="","",G784+F785)</f>
        <v/>
      </c>
      <c r="H785" s="121"/>
      <c r="I785" s="120"/>
    </row>
    <row r="786" spans="1:9" x14ac:dyDescent="0.25">
      <c r="A786" s="4">
        <f>YEAR(Tabela3[[#This Row],[Data]])</f>
        <v>1900</v>
      </c>
      <c r="B786" s="121"/>
      <c r="C786" s="120"/>
      <c r="D786" s="120"/>
      <c r="E786" s="126" t="str">
        <f>IF(Tabela3[[#This Row],[Descrição]]="","",VLOOKUP(Tabela3[[#This Row],[Descrição]],Tabela4[[Descrição]:[Tipo Receita/ Gasto]],2,FALSE))</f>
        <v/>
      </c>
      <c r="F786" s="122"/>
      <c r="G786" s="113" t="str">
        <f>IF(Tabela3[[#This Row],[Valor]]="","",G785+F786)</f>
        <v/>
      </c>
      <c r="H786" s="121"/>
      <c r="I786" s="120"/>
    </row>
    <row r="787" spans="1:9" x14ac:dyDescent="0.25">
      <c r="A787" s="4">
        <f>YEAR(Tabela3[[#This Row],[Data]])</f>
        <v>1900</v>
      </c>
      <c r="B787" s="121"/>
      <c r="C787" s="120"/>
      <c r="D787" s="120"/>
      <c r="E787" s="126" t="str">
        <f>IF(Tabela3[[#This Row],[Descrição]]="","",VLOOKUP(Tabela3[[#This Row],[Descrição]],Tabela4[[Descrição]:[Tipo Receita/ Gasto]],2,FALSE))</f>
        <v/>
      </c>
      <c r="F787" s="122"/>
      <c r="G787" s="113" t="str">
        <f>IF(Tabela3[[#This Row],[Valor]]="","",G786+F787)</f>
        <v/>
      </c>
      <c r="H787" s="121"/>
      <c r="I787" s="120"/>
    </row>
    <row r="788" spans="1:9" x14ac:dyDescent="0.25">
      <c r="A788" s="4">
        <f>YEAR(Tabela3[[#This Row],[Data]])</f>
        <v>1900</v>
      </c>
      <c r="B788" s="121"/>
      <c r="C788" s="120"/>
      <c r="D788" s="120"/>
      <c r="E788" s="126" t="str">
        <f>IF(Tabela3[[#This Row],[Descrição]]="","",VLOOKUP(Tabela3[[#This Row],[Descrição]],Tabela4[[Descrição]:[Tipo Receita/ Gasto]],2,FALSE))</f>
        <v/>
      </c>
      <c r="F788" s="122"/>
      <c r="G788" s="113" t="str">
        <f>IF(Tabela3[[#This Row],[Valor]]="","",G787+F788)</f>
        <v/>
      </c>
      <c r="H788" s="121"/>
      <c r="I788" s="120"/>
    </row>
    <row r="789" spans="1:9" x14ac:dyDescent="0.25">
      <c r="A789" s="4">
        <f>YEAR(Tabela3[[#This Row],[Data]])</f>
        <v>1900</v>
      </c>
      <c r="B789" s="121"/>
      <c r="C789" s="120"/>
      <c r="D789" s="120"/>
      <c r="E789" s="126" t="str">
        <f>IF(Tabela3[[#This Row],[Descrição]]="","",VLOOKUP(Tabela3[[#This Row],[Descrição]],Tabela4[[Descrição]:[Tipo Receita/ Gasto]],2,FALSE))</f>
        <v/>
      </c>
      <c r="F789" s="122"/>
      <c r="G789" s="113" t="str">
        <f>IF(Tabela3[[#This Row],[Valor]]="","",G788+F789)</f>
        <v/>
      </c>
      <c r="H789" s="121"/>
      <c r="I789" s="120"/>
    </row>
    <row r="790" spans="1:9" x14ac:dyDescent="0.25">
      <c r="A790" s="4">
        <f>YEAR(Tabela3[[#This Row],[Data]])</f>
        <v>1900</v>
      </c>
      <c r="B790" s="121"/>
      <c r="C790" s="120"/>
      <c r="D790" s="120"/>
      <c r="E790" s="126" t="str">
        <f>IF(Tabela3[[#This Row],[Descrição]]="","",VLOOKUP(Tabela3[[#This Row],[Descrição]],Tabela4[[Descrição]:[Tipo Receita/ Gasto]],2,FALSE))</f>
        <v/>
      </c>
      <c r="F790" s="122"/>
      <c r="G790" s="113" t="str">
        <f>IF(Tabela3[[#This Row],[Valor]]="","",G789+F790)</f>
        <v/>
      </c>
      <c r="H790" s="121"/>
      <c r="I790" s="120"/>
    </row>
    <row r="791" spans="1:9" x14ac:dyDescent="0.25">
      <c r="A791" s="4">
        <f>YEAR(Tabela3[[#This Row],[Data]])</f>
        <v>1900</v>
      </c>
      <c r="B791" s="121"/>
      <c r="C791" s="120"/>
      <c r="D791" s="120"/>
      <c r="E791" s="126" t="str">
        <f>IF(Tabela3[[#This Row],[Descrição]]="","",VLOOKUP(Tabela3[[#This Row],[Descrição]],Tabela4[[Descrição]:[Tipo Receita/ Gasto]],2,FALSE))</f>
        <v/>
      </c>
      <c r="F791" s="122"/>
      <c r="G791" s="113" t="str">
        <f>IF(Tabela3[[#This Row],[Valor]]="","",G790+F791)</f>
        <v/>
      </c>
      <c r="H791" s="121"/>
      <c r="I791" s="120"/>
    </row>
    <row r="792" spans="1:9" x14ac:dyDescent="0.25">
      <c r="A792" s="4">
        <f>YEAR(Tabela3[[#This Row],[Data]])</f>
        <v>1900</v>
      </c>
      <c r="B792" s="121"/>
      <c r="C792" s="120"/>
      <c r="D792" s="120"/>
      <c r="E792" s="126" t="str">
        <f>IF(Tabela3[[#This Row],[Descrição]]="","",VLOOKUP(Tabela3[[#This Row],[Descrição]],Tabela4[[Descrição]:[Tipo Receita/ Gasto]],2,FALSE))</f>
        <v/>
      </c>
      <c r="F792" s="122"/>
      <c r="G792" s="113" t="str">
        <f>IF(Tabela3[[#This Row],[Valor]]="","",G791+F792)</f>
        <v/>
      </c>
      <c r="H792" s="121"/>
      <c r="I792" s="120"/>
    </row>
    <row r="793" spans="1:9" x14ac:dyDescent="0.25">
      <c r="A793" s="4">
        <f>YEAR(Tabela3[[#This Row],[Data]])</f>
        <v>1900</v>
      </c>
      <c r="B793" s="121"/>
      <c r="C793" s="120"/>
      <c r="D793" s="120"/>
      <c r="E793" s="126" t="str">
        <f>IF(Tabela3[[#This Row],[Descrição]]="","",VLOOKUP(Tabela3[[#This Row],[Descrição]],Tabela4[[Descrição]:[Tipo Receita/ Gasto]],2,FALSE))</f>
        <v/>
      </c>
      <c r="F793" s="122"/>
      <c r="G793" s="113" t="str">
        <f>IF(Tabela3[[#This Row],[Valor]]="","",G792+F793)</f>
        <v/>
      </c>
      <c r="H793" s="121"/>
      <c r="I793" s="120"/>
    </row>
    <row r="794" spans="1:9" x14ac:dyDescent="0.25">
      <c r="A794" s="4">
        <f>YEAR(Tabela3[[#This Row],[Data]])</f>
        <v>1900</v>
      </c>
      <c r="B794" s="121"/>
      <c r="C794" s="120"/>
      <c r="D794" s="120"/>
      <c r="E794" s="126" t="str">
        <f>IF(Tabela3[[#This Row],[Descrição]]="","",VLOOKUP(Tabela3[[#This Row],[Descrição]],Tabela4[[Descrição]:[Tipo Receita/ Gasto]],2,FALSE))</f>
        <v/>
      </c>
      <c r="F794" s="122"/>
      <c r="G794" s="113" t="str">
        <f>IF(Tabela3[[#This Row],[Valor]]="","",G793+F794)</f>
        <v/>
      </c>
      <c r="H794" s="121"/>
      <c r="I794" s="120"/>
    </row>
    <row r="795" spans="1:9" x14ac:dyDescent="0.25">
      <c r="A795" s="4">
        <f>YEAR(Tabela3[[#This Row],[Data]])</f>
        <v>1900</v>
      </c>
      <c r="B795" s="121"/>
      <c r="C795" s="120"/>
      <c r="D795" s="120"/>
      <c r="E795" s="126" t="str">
        <f>IF(Tabela3[[#This Row],[Descrição]]="","",VLOOKUP(Tabela3[[#This Row],[Descrição]],Tabela4[[Descrição]:[Tipo Receita/ Gasto]],2,FALSE))</f>
        <v/>
      </c>
      <c r="F795" s="122"/>
      <c r="G795" s="113" t="str">
        <f>IF(Tabela3[[#This Row],[Valor]]="","",G794+F795)</f>
        <v/>
      </c>
      <c r="H795" s="121"/>
      <c r="I795" s="120"/>
    </row>
    <row r="796" spans="1:9" x14ac:dyDescent="0.25">
      <c r="A796" s="4">
        <f>YEAR(Tabela3[[#This Row],[Data]])</f>
        <v>1900</v>
      </c>
      <c r="B796" s="121"/>
      <c r="C796" s="120"/>
      <c r="D796" s="120"/>
      <c r="E796" s="126" t="str">
        <f>IF(Tabela3[[#This Row],[Descrição]]="","",VLOOKUP(Tabela3[[#This Row],[Descrição]],Tabela4[[Descrição]:[Tipo Receita/ Gasto]],2,FALSE))</f>
        <v/>
      </c>
      <c r="F796" s="122"/>
      <c r="G796" s="113" t="str">
        <f>IF(Tabela3[[#This Row],[Valor]]="","",G795+F796)</f>
        <v/>
      </c>
      <c r="H796" s="121"/>
      <c r="I796" s="120"/>
    </row>
    <row r="797" spans="1:9" x14ac:dyDescent="0.25">
      <c r="A797" s="4">
        <f>YEAR(Tabela3[[#This Row],[Data]])</f>
        <v>1900</v>
      </c>
      <c r="B797" s="121"/>
      <c r="C797" s="120"/>
      <c r="D797" s="120"/>
      <c r="E797" s="126" t="str">
        <f>IF(Tabela3[[#This Row],[Descrição]]="","",VLOOKUP(Tabela3[[#This Row],[Descrição]],Tabela4[[Descrição]:[Tipo Receita/ Gasto]],2,FALSE))</f>
        <v/>
      </c>
      <c r="F797" s="122"/>
      <c r="G797" s="113" t="str">
        <f>IF(Tabela3[[#This Row],[Valor]]="","",G796+F797)</f>
        <v/>
      </c>
      <c r="H797" s="121"/>
      <c r="I797" s="120"/>
    </row>
    <row r="798" spans="1:9" x14ac:dyDescent="0.25">
      <c r="A798" s="4">
        <f>YEAR(Tabela3[[#This Row],[Data]])</f>
        <v>1900</v>
      </c>
      <c r="B798" s="121"/>
      <c r="C798" s="120"/>
      <c r="D798" s="120"/>
      <c r="E798" s="126" t="str">
        <f>IF(Tabela3[[#This Row],[Descrição]]="","",VLOOKUP(Tabela3[[#This Row],[Descrição]],Tabela4[[Descrição]:[Tipo Receita/ Gasto]],2,FALSE))</f>
        <v/>
      </c>
      <c r="F798" s="122"/>
      <c r="G798" s="113" t="str">
        <f>IF(Tabela3[[#This Row],[Valor]]="","",G797+F798)</f>
        <v/>
      </c>
      <c r="H798" s="121"/>
      <c r="I798" s="120"/>
    </row>
    <row r="799" spans="1:9" x14ac:dyDescent="0.25">
      <c r="A799" s="4">
        <f>YEAR(Tabela3[[#This Row],[Data]])</f>
        <v>1900</v>
      </c>
      <c r="B799" s="121"/>
      <c r="C799" s="120"/>
      <c r="D799" s="120"/>
      <c r="E799" s="126" t="str">
        <f>IF(Tabela3[[#This Row],[Descrição]]="","",VLOOKUP(Tabela3[[#This Row],[Descrição]],Tabela4[[Descrição]:[Tipo Receita/ Gasto]],2,FALSE))</f>
        <v/>
      </c>
      <c r="F799" s="122"/>
      <c r="G799" s="113" t="str">
        <f>IF(Tabela3[[#This Row],[Valor]]="","",G798+F799)</f>
        <v/>
      </c>
      <c r="H799" s="121"/>
      <c r="I799" s="120"/>
    </row>
    <row r="800" spans="1:9" x14ac:dyDescent="0.25">
      <c r="A800" s="4">
        <f>YEAR(Tabela3[[#This Row],[Data]])</f>
        <v>1900</v>
      </c>
      <c r="B800" s="121"/>
      <c r="C800" s="120"/>
      <c r="D800" s="120"/>
      <c r="E800" s="126" t="str">
        <f>IF(Tabela3[[#This Row],[Descrição]]="","",VLOOKUP(Tabela3[[#This Row],[Descrição]],Tabela4[[Descrição]:[Tipo Receita/ Gasto]],2,FALSE))</f>
        <v/>
      </c>
      <c r="F800" s="122"/>
      <c r="G800" s="113" t="str">
        <f>IF(Tabela3[[#This Row],[Valor]]="","",G799+F800)</f>
        <v/>
      </c>
      <c r="H800" s="121"/>
      <c r="I800" s="120"/>
    </row>
    <row r="801" spans="1:9" x14ac:dyDescent="0.25">
      <c r="A801" s="4">
        <f>YEAR(Tabela3[[#This Row],[Data]])</f>
        <v>1900</v>
      </c>
      <c r="B801" s="121"/>
      <c r="C801" s="120"/>
      <c r="D801" s="120"/>
      <c r="E801" s="126" t="str">
        <f>IF(Tabela3[[#This Row],[Descrição]]="","",VLOOKUP(Tabela3[[#This Row],[Descrição]],Tabela4[[Descrição]:[Tipo Receita/ Gasto]],2,FALSE))</f>
        <v/>
      </c>
      <c r="F801" s="122"/>
      <c r="G801" s="113" t="str">
        <f>IF(Tabela3[[#This Row],[Valor]]="","",G800+F801)</f>
        <v/>
      </c>
      <c r="H801" s="121"/>
      <c r="I801" s="120"/>
    </row>
    <row r="802" spans="1:9" x14ac:dyDescent="0.25">
      <c r="A802" s="4">
        <f>YEAR(Tabela3[[#This Row],[Data]])</f>
        <v>1900</v>
      </c>
      <c r="B802" s="121"/>
      <c r="C802" s="120"/>
      <c r="D802" s="120"/>
      <c r="E802" s="126" t="str">
        <f>IF(Tabela3[[#This Row],[Descrição]]="","",VLOOKUP(Tabela3[[#This Row],[Descrição]],Tabela4[[Descrição]:[Tipo Receita/ Gasto]],2,FALSE))</f>
        <v/>
      </c>
      <c r="F802" s="122"/>
      <c r="G802" s="113" t="str">
        <f>IF(Tabela3[[#This Row],[Valor]]="","",G801+F802)</f>
        <v/>
      </c>
      <c r="H802" s="121"/>
      <c r="I802" s="120"/>
    </row>
    <row r="803" spans="1:9" x14ac:dyDescent="0.25">
      <c r="A803" s="4">
        <f>YEAR(Tabela3[[#This Row],[Data]])</f>
        <v>1900</v>
      </c>
      <c r="B803" s="121"/>
      <c r="C803" s="120"/>
      <c r="D803" s="120"/>
      <c r="E803" s="126" t="str">
        <f>IF(Tabela3[[#This Row],[Descrição]]="","",VLOOKUP(Tabela3[[#This Row],[Descrição]],Tabela4[[Descrição]:[Tipo Receita/ Gasto]],2,FALSE))</f>
        <v/>
      </c>
      <c r="F803" s="122"/>
      <c r="G803" s="113" t="str">
        <f>IF(Tabela3[[#This Row],[Valor]]="","",G802+F803)</f>
        <v/>
      </c>
      <c r="H803" s="121"/>
      <c r="I803" s="120"/>
    </row>
    <row r="804" spans="1:9" x14ac:dyDescent="0.25">
      <c r="A804" s="4">
        <f>YEAR(Tabela3[[#This Row],[Data]])</f>
        <v>1900</v>
      </c>
      <c r="B804" s="121"/>
      <c r="C804" s="120"/>
      <c r="D804" s="120"/>
      <c r="E804" s="126" t="str">
        <f>IF(Tabela3[[#This Row],[Descrição]]="","",VLOOKUP(Tabela3[[#This Row],[Descrição]],Tabela4[[Descrição]:[Tipo Receita/ Gasto]],2,FALSE))</f>
        <v/>
      </c>
      <c r="F804" s="122"/>
      <c r="G804" s="113" t="str">
        <f>IF(Tabela3[[#This Row],[Valor]]="","",G803+F804)</f>
        <v/>
      </c>
      <c r="H804" s="121"/>
      <c r="I804" s="120"/>
    </row>
    <row r="805" spans="1:9" x14ac:dyDescent="0.25">
      <c r="A805" s="4">
        <f>YEAR(Tabela3[[#This Row],[Data]])</f>
        <v>1900</v>
      </c>
      <c r="B805" s="121"/>
      <c r="C805" s="120"/>
      <c r="D805" s="120"/>
      <c r="E805" s="126" t="str">
        <f>IF(Tabela3[[#This Row],[Descrição]]="","",VLOOKUP(Tabela3[[#This Row],[Descrição]],Tabela4[[Descrição]:[Tipo Receita/ Gasto]],2,FALSE))</f>
        <v/>
      </c>
      <c r="F805" s="122"/>
      <c r="G805" s="113" t="str">
        <f>IF(Tabela3[[#This Row],[Valor]]="","",G804+F805)</f>
        <v/>
      </c>
      <c r="H805" s="121"/>
      <c r="I805" s="120"/>
    </row>
    <row r="806" spans="1:9" x14ac:dyDescent="0.25">
      <c r="A806" s="4">
        <f>YEAR(Tabela3[[#This Row],[Data]])</f>
        <v>1900</v>
      </c>
      <c r="B806" s="121"/>
      <c r="C806" s="120"/>
      <c r="D806" s="120"/>
      <c r="E806" s="126" t="str">
        <f>IF(Tabela3[[#This Row],[Descrição]]="","",VLOOKUP(Tabela3[[#This Row],[Descrição]],Tabela4[[Descrição]:[Tipo Receita/ Gasto]],2,FALSE))</f>
        <v/>
      </c>
      <c r="F806" s="122"/>
      <c r="G806" s="113" t="str">
        <f>IF(Tabela3[[#This Row],[Valor]]="","",G805+F806)</f>
        <v/>
      </c>
      <c r="H806" s="121"/>
      <c r="I806" s="120"/>
    </row>
    <row r="807" spans="1:9" x14ac:dyDescent="0.25">
      <c r="A807" s="4">
        <f>YEAR(Tabela3[[#This Row],[Data]])</f>
        <v>1900</v>
      </c>
      <c r="B807" s="121"/>
      <c r="C807" s="120"/>
      <c r="D807" s="120"/>
      <c r="E807" s="126" t="str">
        <f>IF(Tabela3[[#This Row],[Descrição]]="","",VLOOKUP(Tabela3[[#This Row],[Descrição]],Tabela4[[Descrição]:[Tipo Receita/ Gasto]],2,FALSE))</f>
        <v/>
      </c>
      <c r="F807" s="122"/>
      <c r="G807" s="113" t="str">
        <f>IF(Tabela3[[#This Row],[Valor]]="","",G806+F807)</f>
        <v/>
      </c>
      <c r="H807" s="121"/>
      <c r="I807" s="120"/>
    </row>
    <row r="808" spans="1:9" x14ac:dyDescent="0.25">
      <c r="A808" s="4">
        <f>YEAR(Tabela3[[#This Row],[Data]])</f>
        <v>1900</v>
      </c>
      <c r="B808" s="121"/>
      <c r="C808" s="120"/>
      <c r="D808" s="120"/>
      <c r="E808" s="126" t="str">
        <f>IF(Tabela3[[#This Row],[Descrição]]="","",VLOOKUP(Tabela3[[#This Row],[Descrição]],Tabela4[[Descrição]:[Tipo Receita/ Gasto]],2,FALSE))</f>
        <v/>
      </c>
      <c r="F808" s="122"/>
      <c r="G808" s="113" t="str">
        <f>IF(Tabela3[[#This Row],[Valor]]="","",G807+F808)</f>
        <v/>
      </c>
      <c r="H808" s="121"/>
      <c r="I808" s="120"/>
    </row>
    <row r="809" spans="1:9" x14ac:dyDescent="0.25">
      <c r="A809" s="4">
        <f>YEAR(Tabela3[[#This Row],[Data]])</f>
        <v>1900</v>
      </c>
      <c r="B809" s="121"/>
      <c r="C809" s="120"/>
      <c r="D809" s="120"/>
      <c r="E809" s="126" t="str">
        <f>IF(Tabela3[[#This Row],[Descrição]]="","",VLOOKUP(Tabela3[[#This Row],[Descrição]],Tabela4[[Descrição]:[Tipo Receita/ Gasto]],2,FALSE))</f>
        <v/>
      </c>
      <c r="F809" s="122"/>
      <c r="G809" s="113" t="str">
        <f>IF(Tabela3[[#This Row],[Valor]]="","",G808+F809)</f>
        <v/>
      </c>
      <c r="H809" s="121"/>
      <c r="I809" s="120"/>
    </row>
    <row r="810" spans="1:9" x14ac:dyDescent="0.25">
      <c r="A810" s="4">
        <f>YEAR(Tabela3[[#This Row],[Data]])</f>
        <v>1900</v>
      </c>
      <c r="B810" s="121"/>
      <c r="C810" s="120"/>
      <c r="D810" s="120"/>
      <c r="E810" s="126" t="str">
        <f>IF(Tabela3[[#This Row],[Descrição]]="","",VLOOKUP(Tabela3[[#This Row],[Descrição]],Tabela4[[Descrição]:[Tipo Receita/ Gasto]],2,FALSE))</f>
        <v/>
      </c>
      <c r="F810" s="122"/>
      <c r="G810" s="113" t="str">
        <f>IF(Tabela3[[#This Row],[Valor]]="","",G809+F810)</f>
        <v/>
      </c>
      <c r="H810" s="121"/>
      <c r="I810" s="120"/>
    </row>
    <row r="811" spans="1:9" x14ac:dyDescent="0.25">
      <c r="A811" s="4">
        <f>YEAR(Tabela3[[#This Row],[Data]])</f>
        <v>1900</v>
      </c>
      <c r="B811" s="121"/>
      <c r="C811" s="120"/>
      <c r="D811" s="120"/>
      <c r="E811" s="126" t="str">
        <f>IF(Tabela3[[#This Row],[Descrição]]="","",VLOOKUP(Tabela3[[#This Row],[Descrição]],Tabela4[[Descrição]:[Tipo Receita/ Gasto]],2,FALSE))</f>
        <v/>
      </c>
      <c r="F811" s="122"/>
      <c r="G811" s="113" t="str">
        <f>IF(Tabela3[[#This Row],[Valor]]="","",G810+F811)</f>
        <v/>
      </c>
      <c r="H811" s="121"/>
      <c r="I811" s="120"/>
    </row>
    <row r="812" spans="1:9" x14ac:dyDescent="0.25">
      <c r="A812" s="4">
        <f>YEAR(Tabela3[[#This Row],[Data]])</f>
        <v>1900</v>
      </c>
      <c r="B812" s="121"/>
      <c r="C812" s="120"/>
      <c r="D812" s="120"/>
      <c r="E812" s="126" t="str">
        <f>IF(Tabela3[[#This Row],[Descrição]]="","",VLOOKUP(Tabela3[[#This Row],[Descrição]],Tabela4[[Descrição]:[Tipo Receita/ Gasto]],2,FALSE))</f>
        <v/>
      </c>
      <c r="F812" s="122"/>
      <c r="G812" s="113" t="str">
        <f>IF(Tabela3[[#This Row],[Valor]]="","",G811+F812)</f>
        <v/>
      </c>
      <c r="H812" s="121"/>
      <c r="I812" s="120"/>
    </row>
    <row r="813" spans="1:9" x14ac:dyDescent="0.25">
      <c r="A813" s="4">
        <f>YEAR(Tabela3[[#This Row],[Data]])</f>
        <v>1900</v>
      </c>
      <c r="B813" s="121"/>
      <c r="C813" s="120"/>
      <c r="D813" s="120"/>
      <c r="E813" s="126" t="str">
        <f>IF(Tabela3[[#This Row],[Descrição]]="","",VLOOKUP(Tabela3[[#This Row],[Descrição]],Tabela4[[Descrição]:[Tipo Receita/ Gasto]],2,FALSE))</f>
        <v/>
      </c>
      <c r="F813" s="122"/>
      <c r="G813" s="113" t="str">
        <f>IF(Tabela3[[#This Row],[Valor]]="","",G812+F813)</f>
        <v/>
      </c>
      <c r="H813" s="121"/>
      <c r="I813" s="120"/>
    </row>
    <row r="814" spans="1:9" x14ac:dyDescent="0.25">
      <c r="A814" s="4">
        <f>YEAR(Tabela3[[#This Row],[Data]])</f>
        <v>1900</v>
      </c>
      <c r="B814" s="121"/>
      <c r="C814" s="120"/>
      <c r="D814" s="120"/>
      <c r="E814" s="126" t="str">
        <f>IF(Tabela3[[#This Row],[Descrição]]="","",VLOOKUP(Tabela3[[#This Row],[Descrição]],Tabela4[[Descrição]:[Tipo Receita/ Gasto]],2,FALSE))</f>
        <v/>
      </c>
      <c r="F814" s="122"/>
      <c r="G814" s="113" t="str">
        <f>IF(Tabela3[[#This Row],[Valor]]="","",G813+F814)</f>
        <v/>
      </c>
      <c r="H814" s="121"/>
      <c r="I814" s="120"/>
    </row>
    <row r="815" spans="1:9" x14ac:dyDescent="0.25">
      <c r="A815" s="4">
        <f>YEAR(Tabela3[[#This Row],[Data]])</f>
        <v>1900</v>
      </c>
      <c r="B815" s="121"/>
      <c r="C815" s="120"/>
      <c r="D815" s="120"/>
      <c r="E815" s="126" t="str">
        <f>IF(Tabela3[[#This Row],[Descrição]]="","",VLOOKUP(Tabela3[[#This Row],[Descrição]],Tabela4[[Descrição]:[Tipo Receita/ Gasto]],2,FALSE))</f>
        <v/>
      </c>
      <c r="F815" s="122"/>
      <c r="G815" s="113" t="str">
        <f>IF(Tabela3[[#This Row],[Valor]]="","",G814+F815)</f>
        <v/>
      </c>
      <c r="H815" s="121"/>
      <c r="I815" s="120"/>
    </row>
    <row r="816" spans="1:9" x14ac:dyDescent="0.25">
      <c r="A816" s="4">
        <f>YEAR(Tabela3[[#This Row],[Data]])</f>
        <v>1900</v>
      </c>
      <c r="B816" s="121"/>
      <c r="C816" s="120"/>
      <c r="D816" s="120"/>
      <c r="E816" s="126" t="str">
        <f>IF(Tabela3[[#This Row],[Descrição]]="","",VLOOKUP(Tabela3[[#This Row],[Descrição]],Tabela4[[Descrição]:[Tipo Receita/ Gasto]],2,FALSE))</f>
        <v/>
      </c>
      <c r="F816" s="122"/>
      <c r="G816" s="113" t="str">
        <f>IF(Tabela3[[#This Row],[Valor]]="","",G815+F816)</f>
        <v/>
      </c>
      <c r="H816" s="121"/>
      <c r="I816" s="120"/>
    </row>
    <row r="817" spans="1:9" x14ac:dyDescent="0.25">
      <c r="A817" s="4">
        <f>YEAR(Tabela3[[#This Row],[Data]])</f>
        <v>1900</v>
      </c>
      <c r="B817" s="121"/>
      <c r="C817" s="120"/>
      <c r="D817" s="120"/>
      <c r="E817" s="126" t="str">
        <f>IF(Tabela3[[#This Row],[Descrição]]="","",VLOOKUP(Tabela3[[#This Row],[Descrição]],Tabela4[[Descrição]:[Tipo Receita/ Gasto]],2,FALSE))</f>
        <v/>
      </c>
      <c r="F817" s="122"/>
      <c r="G817" s="113" t="str">
        <f>IF(Tabela3[[#This Row],[Valor]]="","",G816+F817)</f>
        <v/>
      </c>
      <c r="H817" s="121"/>
      <c r="I817" s="120"/>
    </row>
    <row r="818" spans="1:9" x14ac:dyDescent="0.25">
      <c r="A818" s="4">
        <f>YEAR(Tabela3[[#This Row],[Data]])</f>
        <v>1900</v>
      </c>
      <c r="B818" s="121"/>
      <c r="C818" s="120"/>
      <c r="D818" s="120"/>
      <c r="E818" s="126" t="str">
        <f>IF(Tabela3[[#This Row],[Descrição]]="","",VLOOKUP(Tabela3[[#This Row],[Descrição]],Tabela4[[Descrição]:[Tipo Receita/ Gasto]],2,FALSE))</f>
        <v/>
      </c>
      <c r="F818" s="122"/>
      <c r="G818" s="113" t="str">
        <f>IF(Tabela3[[#This Row],[Valor]]="","",G817+F818)</f>
        <v/>
      </c>
      <c r="H818" s="121"/>
      <c r="I818" s="120"/>
    </row>
    <row r="819" spans="1:9" x14ac:dyDescent="0.25">
      <c r="A819" s="4">
        <f>YEAR(Tabela3[[#This Row],[Data]])</f>
        <v>1900</v>
      </c>
      <c r="B819" s="121"/>
      <c r="C819" s="120"/>
      <c r="D819" s="120"/>
      <c r="E819" s="126" t="str">
        <f>IF(Tabela3[[#This Row],[Descrição]]="","",VLOOKUP(Tabela3[[#This Row],[Descrição]],Tabela4[[Descrição]:[Tipo Receita/ Gasto]],2,FALSE))</f>
        <v/>
      </c>
      <c r="F819" s="122"/>
      <c r="G819" s="113" t="str">
        <f>IF(Tabela3[[#This Row],[Valor]]="","",G818+F819)</f>
        <v/>
      </c>
      <c r="H819" s="121"/>
      <c r="I819" s="120"/>
    </row>
    <row r="820" spans="1:9" x14ac:dyDescent="0.25">
      <c r="A820" s="4">
        <f>YEAR(Tabela3[[#This Row],[Data]])</f>
        <v>1900</v>
      </c>
      <c r="B820" s="121"/>
      <c r="C820" s="120"/>
      <c r="D820" s="120"/>
      <c r="E820" s="126" t="str">
        <f>IF(Tabela3[[#This Row],[Descrição]]="","",VLOOKUP(Tabela3[[#This Row],[Descrição]],Tabela4[[Descrição]:[Tipo Receita/ Gasto]],2,FALSE))</f>
        <v/>
      </c>
      <c r="F820" s="122"/>
      <c r="G820" s="113" t="str">
        <f>IF(Tabela3[[#This Row],[Valor]]="","",G819+F820)</f>
        <v/>
      </c>
      <c r="H820" s="121"/>
      <c r="I820" s="120"/>
    </row>
    <row r="821" spans="1:9" x14ac:dyDescent="0.25">
      <c r="A821" s="4">
        <f>YEAR(Tabela3[[#This Row],[Data]])</f>
        <v>1900</v>
      </c>
      <c r="B821" s="121"/>
      <c r="C821" s="120"/>
      <c r="D821" s="120"/>
      <c r="E821" s="126" t="str">
        <f>IF(Tabela3[[#This Row],[Descrição]]="","",VLOOKUP(Tabela3[[#This Row],[Descrição]],Tabela4[[Descrição]:[Tipo Receita/ Gasto]],2,FALSE))</f>
        <v/>
      </c>
      <c r="F821" s="122"/>
      <c r="G821" s="113" t="str">
        <f>IF(Tabela3[[#This Row],[Valor]]="","",G820+F821)</f>
        <v/>
      </c>
      <c r="H821" s="121"/>
      <c r="I821" s="120"/>
    </row>
    <row r="822" spans="1:9" x14ac:dyDescent="0.25">
      <c r="A822" s="4">
        <f>YEAR(Tabela3[[#This Row],[Data]])</f>
        <v>1900</v>
      </c>
      <c r="B822" s="121"/>
      <c r="C822" s="120"/>
      <c r="D822" s="120"/>
      <c r="E822" s="126" t="str">
        <f>IF(Tabela3[[#This Row],[Descrição]]="","",VLOOKUP(Tabela3[[#This Row],[Descrição]],Tabela4[[Descrição]:[Tipo Receita/ Gasto]],2,FALSE))</f>
        <v/>
      </c>
      <c r="F822" s="122"/>
      <c r="G822" s="113" t="str">
        <f>IF(Tabela3[[#This Row],[Valor]]="","",G821+F822)</f>
        <v/>
      </c>
      <c r="H822" s="121"/>
      <c r="I822" s="120"/>
    </row>
    <row r="823" spans="1:9" x14ac:dyDescent="0.25">
      <c r="A823" s="4">
        <f>YEAR(Tabela3[[#This Row],[Data]])</f>
        <v>1900</v>
      </c>
      <c r="B823" s="121"/>
      <c r="C823" s="120"/>
      <c r="D823" s="120"/>
      <c r="E823" s="126" t="str">
        <f>IF(Tabela3[[#This Row],[Descrição]]="","",VLOOKUP(Tabela3[[#This Row],[Descrição]],Tabela4[[Descrição]:[Tipo Receita/ Gasto]],2,FALSE))</f>
        <v/>
      </c>
      <c r="F823" s="122"/>
      <c r="G823" s="113" t="str">
        <f>IF(Tabela3[[#This Row],[Valor]]="","",G822+F823)</f>
        <v/>
      </c>
      <c r="H823" s="121"/>
      <c r="I823" s="120"/>
    </row>
    <row r="824" spans="1:9" x14ac:dyDescent="0.25">
      <c r="A824" s="4">
        <f>YEAR(Tabela3[[#This Row],[Data]])</f>
        <v>1900</v>
      </c>
      <c r="B824" s="121"/>
      <c r="C824" s="120"/>
      <c r="D824" s="120"/>
      <c r="E824" s="126" t="str">
        <f>IF(Tabela3[[#This Row],[Descrição]]="","",VLOOKUP(Tabela3[[#This Row],[Descrição]],Tabela4[[Descrição]:[Tipo Receita/ Gasto]],2,FALSE))</f>
        <v/>
      </c>
      <c r="F824" s="122"/>
      <c r="G824" s="113" t="str">
        <f>IF(Tabela3[[#This Row],[Valor]]="","",G823+F824)</f>
        <v/>
      </c>
      <c r="H824" s="121"/>
      <c r="I824" s="120"/>
    </row>
    <row r="825" spans="1:9" x14ac:dyDescent="0.25">
      <c r="A825" s="4">
        <f>YEAR(Tabela3[[#This Row],[Data]])</f>
        <v>1900</v>
      </c>
      <c r="B825" s="121"/>
      <c r="C825" s="120"/>
      <c r="D825" s="120"/>
      <c r="E825" s="126" t="str">
        <f>IF(Tabela3[[#This Row],[Descrição]]="","",VLOOKUP(Tabela3[[#This Row],[Descrição]],Tabela4[[Descrição]:[Tipo Receita/ Gasto]],2,FALSE))</f>
        <v/>
      </c>
      <c r="F825" s="122"/>
      <c r="G825" s="113" t="str">
        <f>IF(Tabela3[[#This Row],[Valor]]="","",G824+F825)</f>
        <v/>
      </c>
      <c r="H825" s="121"/>
      <c r="I825" s="120"/>
    </row>
    <row r="826" spans="1:9" x14ac:dyDescent="0.25">
      <c r="A826" s="4">
        <f>YEAR(Tabela3[[#This Row],[Data]])</f>
        <v>1900</v>
      </c>
      <c r="B826" s="121"/>
      <c r="C826" s="120"/>
      <c r="D826" s="120"/>
      <c r="E826" s="126" t="str">
        <f>IF(Tabela3[[#This Row],[Descrição]]="","",VLOOKUP(Tabela3[[#This Row],[Descrição]],Tabela4[[Descrição]:[Tipo Receita/ Gasto]],2,FALSE))</f>
        <v/>
      </c>
      <c r="F826" s="122"/>
      <c r="G826" s="113" t="str">
        <f>IF(Tabela3[[#This Row],[Valor]]="","",G825+F826)</f>
        <v/>
      </c>
      <c r="H826" s="121"/>
      <c r="I826" s="120"/>
    </row>
    <row r="827" spans="1:9" x14ac:dyDescent="0.25">
      <c r="A827" s="4">
        <f>YEAR(Tabela3[[#This Row],[Data]])</f>
        <v>1900</v>
      </c>
      <c r="B827" s="121"/>
      <c r="C827" s="120"/>
      <c r="D827" s="120"/>
      <c r="E827" s="126" t="str">
        <f>IF(Tabela3[[#This Row],[Descrição]]="","",VLOOKUP(Tabela3[[#This Row],[Descrição]],Tabela4[[Descrição]:[Tipo Receita/ Gasto]],2,FALSE))</f>
        <v/>
      </c>
      <c r="F827" s="122"/>
      <c r="G827" s="113" t="str">
        <f>IF(Tabela3[[#This Row],[Valor]]="","",G826+F827)</f>
        <v/>
      </c>
      <c r="H827" s="121"/>
      <c r="I827" s="120"/>
    </row>
    <row r="828" spans="1:9" x14ac:dyDescent="0.25">
      <c r="A828" s="4">
        <f>YEAR(Tabela3[[#This Row],[Data]])</f>
        <v>1900</v>
      </c>
      <c r="B828" s="121"/>
      <c r="C828" s="120"/>
      <c r="D828" s="120"/>
      <c r="E828" s="126" t="str">
        <f>IF(Tabela3[[#This Row],[Descrição]]="","",VLOOKUP(Tabela3[[#This Row],[Descrição]],Tabela4[[Descrição]:[Tipo Receita/ Gasto]],2,FALSE))</f>
        <v/>
      </c>
      <c r="F828" s="122"/>
      <c r="G828" s="113" t="str">
        <f>IF(Tabela3[[#This Row],[Valor]]="","",G827+F828)</f>
        <v/>
      </c>
      <c r="H828" s="121"/>
      <c r="I828" s="120"/>
    </row>
    <row r="829" spans="1:9" x14ac:dyDescent="0.25">
      <c r="A829" s="4">
        <f>YEAR(Tabela3[[#This Row],[Data]])</f>
        <v>1900</v>
      </c>
      <c r="B829" s="121"/>
      <c r="C829" s="120"/>
      <c r="D829" s="120"/>
      <c r="E829" s="126" t="str">
        <f>IF(Tabela3[[#This Row],[Descrição]]="","",VLOOKUP(Tabela3[[#This Row],[Descrição]],Tabela4[[Descrição]:[Tipo Receita/ Gasto]],2,FALSE))</f>
        <v/>
      </c>
      <c r="F829" s="122"/>
      <c r="G829" s="113" t="str">
        <f>IF(Tabela3[[#This Row],[Valor]]="","",G828+F829)</f>
        <v/>
      </c>
      <c r="H829" s="121"/>
      <c r="I829" s="120"/>
    </row>
    <row r="830" spans="1:9" x14ac:dyDescent="0.25">
      <c r="A830" s="4">
        <f>YEAR(Tabela3[[#This Row],[Data]])</f>
        <v>1900</v>
      </c>
      <c r="B830" s="121"/>
      <c r="C830" s="120"/>
      <c r="D830" s="120"/>
      <c r="E830" s="126" t="str">
        <f>IF(Tabela3[[#This Row],[Descrição]]="","",VLOOKUP(Tabela3[[#This Row],[Descrição]],Tabela4[[Descrição]:[Tipo Receita/ Gasto]],2,FALSE))</f>
        <v/>
      </c>
      <c r="F830" s="122"/>
      <c r="G830" s="113" t="str">
        <f>IF(Tabela3[[#This Row],[Valor]]="","",G829+F830)</f>
        <v/>
      </c>
      <c r="H830" s="121"/>
      <c r="I830" s="120"/>
    </row>
    <row r="831" spans="1:9" x14ac:dyDescent="0.25">
      <c r="A831" s="4">
        <f>YEAR(Tabela3[[#This Row],[Data]])</f>
        <v>1900</v>
      </c>
      <c r="B831" s="121"/>
      <c r="C831" s="120"/>
      <c r="D831" s="120"/>
      <c r="E831" s="126" t="str">
        <f>IF(Tabela3[[#This Row],[Descrição]]="","",VLOOKUP(Tabela3[[#This Row],[Descrição]],Tabela4[[Descrição]:[Tipo Receita/ Gasto]],2,FALSE))</f>
        <v/>
      </c>
      <c r="F831" s="122"/>
      <c r="G831" s="113" t="str">
        <f>IF(Tabela3[[#This Row],[Valor]]="","",G830+F831)</f>
        <v/>
      </c>
      <c r="H831" s="121"/>
      <c r="I831" s="120"/>
    </row>
    <row r="832" spans="1:9" x14ac:dyDescent="0.25">
      <c r="A832" s="4">
        <f>YEAR(Tabela3[[#This Row],[Data]])</f>
        <v>1900</v>
      </c>
      <c r="B832" s="121"/>
      <c r="C832" s="120"/>
      <c r="D832" s="120"/>
      <c r="E832" s="126" t="str">
        <f>IF(Tabela3[[#This Row],[Descrição]]="","",VLOOKUP(Tabela3[[#This Row],[Descrição]],Tabela4[[Descrição]:[Tipo Receita/ Gasto]],2,FALSE))</f>
        <v/>
      </c>
      <c r="F832" s="122"/>
      <c r="G832" s="113" t="str">
        <f>IF(Tabela3[[#This Row],[Valor]]="","",G831+F832)</f>
        <v/>
      </c>
      <c r="H832" s="121"/>
      <c r="I832" s="120"/>
    </row>
    <row r="833" spans="1:9" x14ac:dyDescent="0.25">
      <c r="A833" s="4">
        <f>YEAR(Tabela3[[#This Row],[Data]])</f>
        <v>1900</v>
      </c>
      <c r="B833" s="121"/>
      <c r="C833" s="120"/>
      <c r="D833" s="120"/>
      <c r="E833" s="126" t="str">
        <f>IF(Tabela3[[#This Row],[Descrição]]="","",VLOOKUP(Tabela3[[#This Row],[Descrição]],Tabela4[[Descrição]:[Tipo Receita/ Gasto]],2,FALSE))</f>
        <v/>
      </c>
      <c r="F833" s="122"/>
      <c r="G833" s="113" t="str">
        <f>IF(Tabela3[[#This Row],[Valor]]="","",G832+F833)</f>
        <v/>
      </c>
      <c r="H833" s="121"/>
      <c r="I833" s="120"/>
    </row>
    <row r="834" spans="1:9" x14ac:dyDescent="0.25">
      <c r="A834" s="4">
        <f>YEAR(Tabela3[[#This Row],[Data]])</f>
        <v>1900</v>
      </c>
      <c r="B834" s="121"/>
      <c r="C834" s="120"/>
      <c r="D834" s="120"/>
      <c r="E834" s="126" t="str">
        <f>IF(Tabela3[[#This Row],[Descrição]]="","",VLOOKUP(Tabela3[[#This Row],[Descrição]],Tabela4[[Descrição]:[Tipo Receita/ Gasto]],2,FALSE))</f>
        <v/>
      </c>
      <c r="F834" s="122"/>
      <c r="G834" s="113" t="str">
        <f>IF(Tabela3[[#This Row],[Valor]]="","",G833+F834)</f>
        <v/>
      </c>
      <c r="H834" s="121"/>
      <c r="I834" s="120"/>
    </row>
    <row r="835" spans="1:9" x14ac:dyDescent="0.25">
      <c r="A835" s="4">
        <f>YEAR(Tabela3[[#This Row],[Data]])</f>
        <v>1900</v>
      </c>
      <c r="B835" s="121"/>
      <c r="C835" s="120"/>
      <c r="D835" s="120"/>
      <c r="E835" s="126" t="str">
        <f>IF(Tabela3[[#This Row],[Descrição]]="","",VLOOKUP(Tabela3[[#This Row],[Descrição]],Tabela4[[Descrição]:[Tipo Receita/ Gasto]],2,FALSE))</f>
        <v/>
      </c>
      <c r="F835" s="122"/>
      <c r="G835" s="113" t="str">
        <f>IF(Tabela3[[#This Row],[Valor]]="","",G834+F835)</f>
        <v/>
      </c>
      <c r="H835" s="121"/>
      <c r="I835" s="120"/>
    </row>
    <row r="836" spans="1:9" x14ac:dyDescent="0.25">
      <c r="A836" s="4">
        <f>YEAR(Tabela3[[#This Row],[Data]])</f>
        <v>1900</v>
      </c>
      <c r="B836" s="121"/>
      <c r="C836" s="120"/>
      <c r="D836" s="120"/>
      <c r="E836" s="126" t="str">
        <f>IF(Tabela3[[#This Row],[Descrição]]="","",VLOOKUP(Tabela3[[#This Row],[Descrição]],Tabela4[[Descrição]:[Tipo Receita/ Gasto]],2,FALSE))</f>
        <v/>
      </c>
      <c r="F836" s="122"/>
      <c r="G836" s="113" t="str">
        <f>IF(Tabela3[[#This Row],[Valor]]="","",G835+F836)</f>
        <v/>
      </c>
      <c r="H836" s="121"/>
      <c r="I836" s="120"/>
    </row>
    <row r="837" spans="1:9" x14ac:dyDescent="0.25">
      <c r="A837" s="4">
        <f>YEAR(Tabela3[[#This Row],[Data]])</f>
        <v>1900</v>
      </c>
      <c r="B837" s="121"/>
      <c r="C837" s="120"/>
      <c r="D837" s="120"/>
      <c r="E837" s="126" t="str">
        <f>IF(Tabela3[[#This Row],[Descrição]]="","",VLOOKUP(Tabela3[[#This Row],[Descrição]],Tabela4[[Descrição]:[Tipo Receita/ Gasto]],2,FALSE))</f>
        <v/>
      </c>
      <c r="F837" s="122"/>
      <c r="G837" s="113" t="str">
        <f>IF(Tabela3[[#This Row],[Valor]]="","",G836+F837)</f>
        <v/>
      </c>
      <c r="H837" s="121"/>
      <c r="I837" s="120"/>
    </row>
    <row r="838" spans="1:9" x14ac:dyDescent="0.25">
      <c r="A838" s="4">
        <f>YEAR(Tabela3[[#This Row],[Data]])</f>
        <v>1900</v>
      </c>
      <c r="B838" s="121"/>
      <c r="C838" s="120"/>
      <c r="D838" s="120"/>
      <c r="E838" s="126" t="str">
        <f>IF(Tabela3[[#This Row],[Descrição]]="","",VLOOKUP(Tabela3[[#This Row],[Descrição]],Tabela4[[Descrição]:[Tipo Receita/ Gasto]],2,FALSE))</f>
        <v/>
      </c>
      <c r="F838" s="122"/>
      <c r="G838" s="113" t="str">
        <f>IF(Tabela3[[#This Row],[Valor]]="","",G837+F838)</f>
        <v/>
      </c>
      <c r="H838" s="121"/>
      <c r="I838" s="120"/>
    </row>
    <row r="839" spans="1:9" x14ac:dyDescent="0.25">
      <c r="A839" s="4">
        <f>YEAR(Tabela3[[#This Row],[Data]])</f>
        <v>1900</v>
      </c>
      <c r="B839" s="121"/>
      <c r="C839" s="120"/>
      <c r="D839" s="120"/>
      <c r="E839" s="126" t="str">
        <f>IF(Tabela3[[#This Row],[Descrição]]="","",VLOOKUP(Tabela3[[#This Row],[Descrição]],Tabela4[[Descrição]:[Tipo Receita/ Gasto]],2,FALSE))</f>
        <v/>
      </c>
      <c r="F839" s="122"/>
      <c r="G839" s="113" t="str">
        <f>IF(Tabela3[[#This Row],[Valor]]="","",G838+F839)</f>
        <v/>
      </c>
      <c r="H839" s="121"/>
      <c r="I839" s="120"/>
    </row>
    <row r="840" spans="1:9" x14ac:dyDescent="0.25">
      <c r="A840" s="4">
        <f>YEAR(Tabela3[[#This Row],[Data]])</f>
        <v>1900</v>
      </c>
      <c r="B840" s="121"/>
      <c r="C840" s="120"/>
      <c r="D840" s="120"/>
      <c r="E840" s="126" t="str">
        <f>IF(Tabela3[[#This Row],[Descrição]]="","",VLOOKUP(Tabela3[[#This Row],[Descrição]],Tabela4[[Descrição]:[Tipo Receita/ Gasto]],2,FALSE))</f>
        <v/>
      </c>
      <c r="F840" s="122"/>
      <c r="G840" s="113" t="str">
        <f>IF(Tabela3[[#This Row],[Valor]]="","",G839+F840)</f>
        <v/>
      </c>
      <c r="H840" s="121"/>
      <c r="I840" s="120"/>
    </row>
    <row r="841" spans="1:9" x14ac:dyDescent="0.25">
      <c r="A841" s="4">
        <f>YEAR(Tabela3[[#This Row],[Data]])</f>
        <v>1900</v>
      </c>
      <c r="B841" s="121"/>
      <c r="C841" s="120"/>
      <c r="D841" s="120"/>
      <c r="E841" s="126" t="str">
        <f>IF(Tabela3[[#This Row],[Descrição]]="","",VLOOKUP(Tabela3[[#This Row],[Descrição]],Tabela4[[Descrição]:[Tipo Receita/ Gasto]],2,FALSE))</f>
        <v/>
      </c>
      <c r="F841" s="122"/>
      <c r="G841" s="113" t="str">
        <f>IF(Tabela3[[#This Row],[Valor]]="","",G840+F841)</f>
        <v/>
      </c>
      <c r="H841" s="121"/>
      <c r="I841" s="120"/>
    </row>
    <row r="842" spans="1:9" x14ac:dyDescent="0.25">
      <c r="A842" s="4">
        <f>YEAR(Tabela3[[#This Row],[Data]])</f>
        <v>1900</v>
      </c>
      <c r="B842" s="121"/>
      <c r="C842" s="120"/>
      <c r="D842" s="120"/>
      <c r="E842" s="126" t="str">
        <f>IF(Tabela3[[#This Row],[Descrição]]="","",VLOOKUP(Tabela3[[#This Row],[Descrição]],Tabela4[[Descrição]:[Tipo Receita/ Gasto]],2,FALSE))</f>
        <v/>
      </c>
      <c r="F842" s="122"/>
      <c r="G842" s="113" t="str">
        <f>IF(Tabela3[[#This Row],[Valor]]="","",G841+F842)</f>
        <v/>
      </c>
      <c r="H842" s="121"/>
      <c r="I842" s="120"/>
    </row>
    <row r="843" spans="1:9" x14ac:dyDescent="0.25">
      <c r="A843" s="4">
        <f>YEAR(Tabela3[[#This Row],[Data]])</f>
        <v>1900</v>
      </c>
      <c r="B843" s="121"/>
      <c r="C843" s="120"/>
      <c r="D843" s="120"/>
      <c r="E843" s="126" t="str">
        <f>IF(Tabela3[[#This Row],[Descrição]]="","",VLOOKUP(Tabela3[[#This Row],[Descrição]],Tabela4[[Descrição]:[Tipo Receita/ Gasto]],2,FALSE))</f>
        <v/>
      </c>
      <c r="F843" s="122"/>
      <c r="G843" s="113" t="str">
        <f>IF(Tabela3[[#This Row],[Valor]]="","",G842+F843)</f>
        <v/>
      </c>
      <c r="H843" s="121"/>
      <c r="I843" s="120"/>
    </row>
    <row r="844" spans="1:9" x14ac:dyDescent="0.25">
      <c r="A844" s="4">
        <f>YEAR(Tabela3[[#This Row],[Data]])</f>
        <v>1900</v>
      </c>
      <c r="B844" s="121"/>
      <c r="C844" s="120"/>
      <c r="D844" s="120"/>
      <c r="E844" s="126" t="str">
        <f>IF(Tabela3[[#This Row],[Descrição]]="","",VLOOKUP(Tabela3[[#This Row],[Descrição]],Tabela4[[Descrição]:[Tipo Receita/ Gasto]],2,FALSE))</f>
        <v/>
      </c>
      <c r="F844" s="122"/>
      <c r="G844" s="113" t="str">
        <f>IF(Tabela3[[#This Row],[Valor]]="","",G843+F844)</f>
        <v/>
      </c>
      <c r="H844" s="121"/>
      <c r="I844" s="120"/>
    </row>
    <row r="845" spans="1:9" x14ac:dyDescent="0.25">
      <c r="A845" s="4">
        <f>YEAR(Tabela3[[#This Row],[Data]])</f>
        <v>1900</v>
      </c>
      <c r="B845" s="121"/>
      <c r="C845" s="120"/>
      <c r="D845" s="120"/>
      <c r="E845" s="126" t="str">
        <f>IF(Tabela3[[#This Row],[Descrição]]="","",VLOOKUP(Tabela3[[#This Row],[Descrição]],Tabela4[[Descrição]:[Tipo Receita/ Gasto]],2,FALSE))</f>
        <v/>
      </c>
      <c r="F845" s="122"/>
      <c r="G845" s="113" t="str">
        <f>IF(Tabela3[[#This Row],[Valor]]="","",G844+F845)</f>
        <v/>
      </c>
      <c r="H845" s="121"/>
      <c r="I845" s="120"/>
    </row>
    <row r="846" spans="1:9" x14ac:dyDescent="0.25">
      <c r="A846" s="4">
        <f>YEAR(Tabela3[[#This Row],[Data]])</f>
        <v>1900</v>
      </c>
      <c r="B846" s="121"/>
      <c r="C846" s="120"/>
      <c r="D846" s="120"/>
      <c r="E846" s="126" t="str">
        <f>IF(Tabela3[[#This Row],[Descrição]]="","",VLOOKUP(Tabela3[[#This Row],[Descrição]],Tabela4[[Descrição]:[Tipo Receita/ Gasto]],2,FALSE))</f>
        <v/>
      </c>
      <c r="F846" s="122"/>
      <c r="G846" s="113" t="str">
        <f>IF(Tabela3[[#This Row],[Valor]]="","",G845+F846)</f>
        <v/>
      </c>
      <c r="H846" s="121"/>
      <c r="I846" s="120"/>
    </row>
    <row r="847" spans="1:9" x14ac:dyDescent="0.25">
      <c r="A847" s="4">
        <f>YEAR(Tabela3[[#This Row],[Data]])</f>
        <v>1900</v>
      </c>
      <c r="B847" s="121"/>
      <c r="C847" s="120"/>
      <c r="D847" s="120"/>
      <c r="E847" s="126" t="str">
        <f>IF(Tabela3[[#This Row],[Descrição]]="","",VLOOKUP(Tabela3[[#This Row],[Descrição]],Tabela4[[Descrição]:[Tipo Receita/ Gasto]],2,FALSE))</f>
        <v/>
      </c>
      <c r="F847" s="122"/>
      <c r="G847" s="113" t="str">
        <f>IF(Tabela3[[#This Row],[Valor]]="","",G846+F847)</f>
        <v/>
      </c>
      <c r="H847" s="121"/>
      <c r="I847" s="120"/>
    </row>
    <row r="848" spans="1:9" x14ac:dyDescent="0.25">
      <c r="A848" s="4">
        <f>YEAR(Tabela3[[#This Row],[Data]])</f>
        <v>1900</v>
      </c>
      <c r="B848" s="121"/>
      <c r="C848" s="120"/>
      <c r="D848" s="120"/>
      <c r="E848" s="126" t="str">
        <f>IF(Tabela3[[#This Row],[Descrição]]="","",VLOOKUP(Tabela3[[#This Row],[Descrição]],Tabela4[[Descrição]:[Tipo Receita/ Gasto]],2,FALSE))</f>
        <v/>
      </c>
      <c r="F848" s="122"/>
      <c r="G848" s="113" t="str">
        <f>IF(Tabela3[[#This Row],[Valor]]="","",G847+F848)</f>
        <v/>
      </c>
      <c r="H848" s="121"/>
      <c r="I848" s="120"/>
    </row>
    <row r="849" spans="1:9" x14ac:dyDescent="0.25">
      <c r="A849" s="4">
        <f>YEAR(Tabela3[[#This Row],[Data]])</f>
        <v>1900</v>
      </c>
      <c r="B849" s="121"/>
      <c r="C849" s="120"/>
      <c r="D849" s="120"/>
      <c r="E849" s="126" t="str">
        <f>IF(Tabela3[[#This Row],[Descrição]]="","",VLOOKUP(Tabela3[[#This Row],[Descrição]],Tabela4[[Descrição]:[Tipo Receita/ Gasto]],2,FALSE))</f>
        <v/>
      </c>
      <c r="F849" s="122"/>
      <c r="G849" s="113" t="str">
        <f>IF(Tabela3[[#This Row],[Valor]]="","",G848+F849)</f>
        <v/>
      </c>
      <c r="H849" s="121"/>
      <c r="I849" s="120"/>
    </row>
    <row r="850" spans="1:9" x14ac:dyDescent="0.25">
      <c r="A850" s="4">
        <f>YEAR(Tabela3[[#This Row],[Data]])</f>
        <v>1900</v>
      </c>
      <c r="B850" s="121"/>
      <c r="C850" s="120"/>
      <c r="D850" s="120"/>
      <c r="E850" s="126" t="str">
        <f>IF(Tabela3[[#This Row],[Descrição]]="","",VLOOKUP(Tabela3[[#This Row],[Descrição]],Tabela4[[Descrição]:[Tipo Receita/ Gasto]],2,FALSE))</f>
        <v/>
      </c>
      <c r="F850" s="122"/>
      <c r="G850" s="113" t="str">
        <f>IF(Tabela3[[#This Row],[Valor]]="","",G849+F850)</f>
        <v/>
      </c>
      <c r="H850" s="121"/>
      <c r="I850" s="120"/>
    </row>
    <row r="851" spans="1:9" x14ac:dyDescent="0.25">
      <c r="A851" s="4">
        <f>YEAR(Tabela3[[#This Row],[Data]])</f>
        <v>1900</v>
      </c>
      <c r="B851" s="121"/>
      <c r="C851" s="120"/>
      <c r="D851" s="120"/>
      <c r="E851" s="126" t="str">
        <f>IF(Tabela3[[#This Row],[Descrição]]="","",VLOOKUP(Tabela3[[#This Row],[Descrição]],Tabela4[[Descrição]:[Tipo Receita/ Gasto]],2,FALSE))</f>
        <v/>
      </c>
      <c r="F851" s="122"/>
      <c r="G851" s="113" t="str">
        <f>IF(Tabela3[[#This Row],[Valor]]="","",G850+F851)</f>
        <v/>
      </c>
      <c r="H851" s="121"/>
      <c r="I851" s="120"/>
    </row>
    <row r="852" spans="1:9" x14ac:dyDescent="0.25">
      <c r="A852" s="4">
        <f>YEAR(Tabela3[[#This Row],[Data]])</f>
        <v>1900</v>
      </c>
      <c r="B852" s="121"/>
      <c r="C852" s="120"/>
      <c r="D852" s="120"/>
      <c r="E852" s="126" t="str">
        <f>IF(Tabela3[[#This Row],[Descrição]]="","",VLOOKUP(Tabela3[[#This Row],[Descrição]],Tabela4[[Descrição]:[Tipo Receita/ Gasto]],2,FALSE))</f>
        <v/>
      </c>
      <c r="F852" s="122"/>
      <c r="G852" s="113" t="str">
        <f>IF(Tabela3[[#This Row],[Valor]]="","",G851+F852)</f>
        <v/>
      </c>
      <c r="H852" s="121"/>
      <c r="I852" s="120"/>
    </row>
    <row r="853" spans="1:9" x14ac:dyDescent="0.25">
      <c r="A853" s="4">
        <f>YEAR(Tabela3[[#This Row],[Data]])</f>
        <v>1900</v>
      </c>
      <c r="B853" s="121"/>
      <c r="C853" s="120"/>
      <c r="D853" s="120"/>
      <c r="E853" s="126" t="str">
        <f>IF(Tabela3[[#This Row],[Descrição]]="","",VLOOKUP(Tabela3[[#This Row],[Descrição]],Tabela4[[Descrição]:[Tipo Receita/ Gasto]],2,FALSE))</f>
        <v/>
      </c>
      <c r="F853" s="122"/>
      <c r="G853" s="113" t="str">
        <f>IF(Tabela3[[#This Row],[Valor]]="","",G852+F853)</f>
        <v/>
      </c>
      <c r="H853" s="121"/>
      <c r="I853" s="120"/>
    </row>
    <row r="854" spans="1:9" x14ac:dyDescent="0.25">
      <c r="A854" s="4">
        <f>YEAR(Tabela3[[#This Row],[Data]])</f>
        <v>1900</v>
      </c>
      <c r="B854" s="121"/>
      <c r="C854" s="120"/>
      <c r="D854" s="120"/>
      <c r="E854" s="126" t="str">
        <f>IF(Tabela3[[#This Row],[Descrição]]="","",VLOOKUP(Tabela3[[#This Row],[Descrição]],Tabela4[[Descrição]:[Tipo Receita/ Gasto]],2,FALSE))</f>
        <v/>
      </c>
      <c r="F854" s="122"/>
      <c r="G854" s="113" t="str">
        <f>IF(Tabela3[[#This Row],[Valor]]="","",G853+F854)</f>
        <v/>
      </c>
      <c r="H854" s="121"/>
      <c r="I854" s="120"/>
    </row>
    <row r="855" spans="1:9" x14ac:dyDescent="0.25">
      <c r="A855" s="4">
        <f>YEAR(Tabela3[[#This Row],[Data]])</f>
        <v>1900</v>
      </c>
      <c r="B855" s="121"/>
      <c r="C855" s="120"/>
      <c r="D855" s="120"/>
      <c r="E855" s="126" t="str">
        <f>IF(Tabela3[[#This Row],[Descrição]]="","",VLOOKUP(Tabela3[[#This Row],[Descrição]],Tabela4[[Descrição]:[Tipo Receita/ Gasto]],2,FALSE))</f>
        <v/>
      </c>
      <c r="F855" s="122"/>
      <c r="G855" s="113" t="str">
        <f>IF(Tabela3[[#This Row],[Valor]]="","",G854+F855)</f>
        <v/>
      </c>
      <c r="H855" s="121"/>
      <c r="I855" s="120"/>
    </row>
    <row r="856" spans="1:9" x14ac:dyDescent="0.25">
      <c r="A856" s="4">
        <f>YEAR(Tabela3[[#This Row],[Data]])</f>
        <v>1900</v>
      </c>
      <c r="B856" s="121"/>
      <c r="C856" s="120"/>
      <c r="D856" s="120"/>
      <c r="E856" s="126" t="str">
        <f>IF(Tabela3[[#This Row],[Descrição]]="","",VLOOKUP(Tabela3[[#This Row],[Descrição]],Tabela4[[Descrição]:[Tipo Receita/ Gasto]],2,FALSE))</f>
        <v/>
      </c>
      <c r="F856" s="122"/>
      <c r="G856" s="113" t="str">
        <f>IF(Tabela3[[#This Row],[Valor]]="","",G855+F856)</f>
        <v/>
      </c>
      <c r="H856" s="121"/>
      <c r="I856" s="120"/>
    </row>
    <row r="857" spans="1:9" x14ac:dyDescent="0.25">
      <c r="A857" s="4">
        <f>YEAR(Tabela3[[#This Row],[Data]])</f>
        <v>1900</v>
      </c>
      <c r="B857" s="121"/>
      <c r="C857" s="120"/>
      <c r="D857" s="120"/>
      <c r="E857" s="126" t="str">
        <f>IF(Tabela3[[#This Row],[Descrição]]="","",VLOOKUP(Tabela3[[#This Row],[Descrição]],Tabela4[[Descrição]:[Tipo Receita/ Gasto]],2,FALSE))</f>
        <v/>
      </c>
      <c r="F857" s="122"/>
      <c r="G857" s="113" t="str">
        <f>IF(Tabela3[[#This Row],[Valor]]="","",G856+F857)</f>
        <v/>
      </c>
      <c r="H857" s="121"/>
      <c r="I857" s="120"/>
    </row>
    <row r="858" spans="1:9" x14ac:dyDescent="0.25">
      <c r="A858" s="4">
        <f>YEAR(Tabela3[[#This Row],[Data]])</f>
        <v>1900</v>
      </c>
      <c r="B858" s="121"/>
      <c r="C858" s="120"/>
      <c r="D858" s="120"/>
      <c r="E858" s="126" t="str">
        <f>IF(Tabela3[[#This Row],[Descrição]]="","",VLOOKUP(Tabela3[[#This Row],[Descrição]],Tabela4[[Descrição]:[Tipo Receita/ Gasto]],2,FALSE))</f>
        <v/>
      </c>
      <c r="F858" s="122"/>
      <c r="G858" s="113" t="str">
        <f>IF(Tabela3[[#This Row],[Valor]]="","",G857+F858)</f>
        <v/>
      </c>
      <c r="H858" s="121"/>
      <c r="I858" s="120"/>
    </row>
    <row r="859" spans="1:9" x14ac:dyDescent="0.25">
      <c r="A859" s="4">
        <f>YEAR(Tabela3[[#This Row],[Data]])</f>
        <v>1900</v>
      </c>
      <c r="B859" s="121"/>
      <c r="C859" s="120"/>
      <c r="D859" s="120"/>
      <c r="E859" s="126" t="str">
        <f>IF(Tabela3[[#This Row],[Descrição]]="","",VLOOKUP(Tabela3[[#This Row],[Descrição]],Tabela4[[Descrição]:[Tipo Receita/ Gasto]],2,FALSE))</f>
        <v/>
      </c>
      <c r="F859" s="122"/>
      <c r="G859" s="113" t="str">
        <f>IF(Tabela3[[#This Row],[Valor]]="","",G858+F859)</f>
        <v/>
      </c>
      <c r="H859" s="121"/>
      <c r="I859" s="120"/>
    </row>
    <row r="860" spans="1:9" x14ac:dyDescent="0.25">
      <c r="A860" s="4">
        <f>YEAR(Tabela3[[#This Row],[Data]])</f>
        <v>1900</v>
      </c>
      <c r="B860" s="121"/>
      <c r="C860" s="120"/>
      <c r="D860" s="120"/>
      <c r="E860" s="126" t="str">
        <f>IF(Tabela3[[#This Row],[Descrição]]="","",VLOOKUP(Tabela3[[#This Row],[Descrição]],Tabela4[[Descrição]:[Tipo Receita/ Gasto]],2,FALSE))</f>
        <v/>
      </c>
      <c r="F860" s="122"/>
      <c r="G860" s="113" t="str">
        <f>IF(Tabela3[[#This Row],[Valor]]="","",G859+F860)</f>
        <v/>
      </c>
      <c r="H860" s="121"/>
      <c r="I860" s="120"/>
    </row>
    <row r="861" spans="1:9" x14ac:dyDescent="0.25">
      <c r="A861" s="4">
        <f>YEAR(Tabela3[[#This Row],[Data]])</f>
        <v>1900</v>
      </c>
      <c r="B861" s="121"/>
      <c r="C861" s="120"/>
      <c r="D861" s="120"/>
      <c r="E861" s="126" t="str">
        <f>IF(Tabela3[[#This Row],[Descrição]]="","",VLOOKUP(Tabela3[[#This Row],[Descrição]],Tabela4[[Descrição]:[Tipo Receita/ Gasto]],2,FALSE))</f>
        <v/>
      </c>
      <c r="F861" s="122"/>
      <c r="G861" s="113" t="str">
        <f>IF(Tabela3[[#This Row],[Valor]]="","",G860+F861)</f>
        <v/>
      </c>
      <c r="H861" s="121"/>
      <c r="I861" s="120"/>
    </row>
    <row r="862" spans="1:9" x14ac:dyDescent="0.25">
      <c r="A862" s="4">
        <f>YEAR(Tabela3[[#This Row],[Data]])</f>
        <v>1900</v>
      </c>
      <c r="B862" s="121"/>
      <c r="C862" s="120"/>
      <c r="D862" s="120"/>
      <c r="E862" s="126" t="str">
        <f>IF(Tabela3[[#This Row],[Descrição]]="","",VLOOKUP(Tabela3[[#This Row],[Descrição]],Tabela4[[Descrição]:[Tipo Receita/ Gasto]],2,FALSE))</f>
        <v/>
      </c>
      <c r="F862" s="122"/>
      <c r="G862" s="113" t="str">
        <f>IF(Tabela3[[#This Row],[Valor]]="","",G861+F862)</f>
        <v/>
      </c>
      <c r="H862" s="121"/>
      <c r="I862" s="120"/>
    </row>
    <row r="863" spans="1:9" x14ac:dyDescent="0.25">
      <c r="A863" s="4">
        <f>YEAR(Tabela3[[#This Row],[Data]])</f>
        <v>1900</v>
      </c>
      <c r="B863" s="121"/>
      <c r="C863" s="120"/>
      <c r="D863" s="120"/>
      <c r="E863" s="126" t="str">
        <f>IF(Tabela3[[#This Row],[Descrição]]="","",VLOOKUP(Tabela3[[#This Row],[Descrição]],Tabela4[[Descrição]:[Tipo Receita/ Gasto]],2,FALSE))</f>
        <v/>
      </c>
      <c r="F863" s="122"/>
      <c r="G863" s="113" t="str">
        <f>IF(Tabela3[[#This Row],[Valor]]="","",G862+F863)</f>
        <v/>
      </c>
      <c r="H863" s="121"/>
      <c r="I863" s="120"/>
    </row>
    <row r="864" spans="1:9" x14ac:dyDescent="0.25">
      <c r="A864" s="4">
        <f>YEAR(Tabela3[[#This Row],[Data]])</f>
        <v>1900</v>
      </c>
      <c r="B864" s="121"/>
      <c r="C864" s="120"/>
      <c r="D864" s="120"/>
      <c r="E864" s="126" t="str">
        <f>IF(Tabela3[[#This Row],[Descrição]]="","",VLOOKUP(Tabela3[[#This Row],[Descrição]],Tabela4[[Descrição]:[Tipo Receita/ Gasto]],2,FALSE))</f>
        <v/>
      </c>
      <c r="F864" s="122"/>
      <c r="G864" s="113" t="str">
        <f>IF(Tabela3[[#This Row],[Valor]]="","",G863+F864)</f>
        <v/>
      </c>
      <c r="H864" s="121"/>
      <c r="I864" s="120"/>
    </row>
    <row r="865" spans="1:9" x14ac:dyDescent="0.25">
      <c r="A865" s="4">
        <f>YEAR(Tabela3[[#This Row],[Data]])</f>
        <v>1900</v>
      </c>
      <c r="B865" s="121"/>
      <c r="C865" s="120"/>
      <c r="D865" s="120"/>
      <c r="E865" s="126" t="str">
        <f>IF(Tabela3[[#This Row],[Descrição]]="","",VLOOKUP(Tabela3[[#This Row],[Descrição]],Tabela4[[Descrição]:[Tipo Receita/ Gasto]],2,FALSE))</f>
        <v/>
      </c>
      <c r="F865" s="122"/>
      <c r="G865" s="113" t="str">
        <f>IF(Tabela3[[#This Row],[Valor]]="","",G864+F865)</f>
        <v/>
      </c>
      <c r="H865" s="121"/>
      <c r="I865" s="120"/>
    </row>
    <row r="866" spans="1:9" x14ac:dyDescent="0.25">
      <c r="A866" s="4">
        <f>YEAR(Tabela3[[#This Row],[Data]])</f>
        <v>1900</v>
      </c>
      <c r="B866" s="121"/>
      <c r="C866" s="120"/>
      <c r="D866" s="120"/>
      <c r="E866" s="126" t="str">
        <f>IF(Tabela3[[#This Row],[Descrição]]="","",VLOOKUP(Tabela3[[#This Row],[Descrição]],Tabela4[[Descrição]:[Tipo Receita/ Gasto]],2,FALSE))</f>
        <v/>
      </c>
      <c r="F866" s="122"/>
      <c r="G866" s="113" t="str">
        <f>IF(Tabela3[[#This Row],[Valor]]="","",G865+F866)</f>
        <v/>
      </c>
      <c r="H866" s="121"/>
      <c r="I866" s="120"/>
    </row>
    <row r="867" spans="1:9" x14ac:dyDescent="0.25">
      <c r="A867" s="4">
        <f>YEAR(Tabela3[[#This Row],[Data]])</f>
        <v>1900</v>
      </c>
      <c r="B867" s="121"/>
      <c r="C867" s="120"/>
      <c r="D867" s="120"/>
      <c r="E867" s="126" t="str">
        <f>IF(Tabela3[[#This Row],[Descrição]]="","",VLOOKUP(Tabela3[[#This Row],[Descrição]],Tabela4[[Descrição]:[Tipo Receita/ Gasto]],2,FALSE))</f>
        <v/>
      </c>
      <c r="F867" s="122"/>
      <c r="G867" s="113" t="str">
        <f>IF(Tabela3[[#This Row],[Valor]]="","",G866+F867)</f>
        <v/>
      </c>
      <c r="H867" s="121"/>
      <c r="I867" s="120"/>
    </row>
    <row r="868" spans="1:9" x14ac:dyDescent="0.25">
      <c r="A868" s="4">
        <f>YEAR(Tabela3[[#This Row],[Data]])</f>
        <v>1900</v>
      </c>
      <c r="B868" s="121"/>
      <c r="C868" s="120"/>
      <c r="D868" s="120"/>
      <c r="E868" s="126" t="str">
        <f>IF(Tabela3[[#This Row],[Descrição]]="","",VLOOKUP(Tabela3[[#This Row],[Descrição]],Tabela4[[Descrição]:[Tipo Receita/ Gasto]],2,FALSE))</f>
        <v/>
      </c>
      <c r="F868" s="122"/>
      <c r="G868" s="113" t="str">
        <f>IF(Tabela3[[#This Row],[Valor]]="","",G867+F868)</f>
        <v/>
      </c>
      <c r="H868" s="121"/>
      <c r="I868" s="120"/>
    </row>
    <row r="869" spans="1:9" x14ac:dyDescent="0.25">
      <c r="A869" s="4">
        <f>YEAR(Tabela3[[#This Row],[Data]])</f>
        <v>1900</v>
      </c>
      <c r="B869" s="121"/>
      <c r="C869" s="120"/>
      <c r="D869" s="120"/>
      <c r="E869" s="126" t="str">
        <f>IF(Tabela3[[#This Row],[Descrição]]="","",VLOOKUP(Tabela3[[#This Row],[Descrição]],Tabela4[[Descrição]:[Tipo Receita/ Gasto]],2,FALSE))</f>
        <v/>
      </c>
      <c r="F869" s="122"/>
      <c r="G869" s="113" t="str">
        <f>IF(Tabela3[[#This Row],[Valor]]="","",G868+F869)</f>
        <v/>
      </c>
      <c r="H869" s="121"/>
      <c r="I869" s="120"/>
    </row>
    <row r="870" spans="1:9" x14ac:dyDescent="0.25">
      <c r="A870" s="4">
        <f>YEAR(Tabela3[[#This Row],[Data]])</f>
        <v>1900</v>
      </c>
      <c r="B870" s="121"/>
      <c r="C870" s="120"/>
      <c r="D870" s="120"/>
      <c r="E870" s="126" t="str">
        <f>IF(Tabela3[[#This Row],[Descrição]]="","",VLOOKUP(Tabela3[[#This Row],[Descrição]],Tabela4[[Descrição]:[Tipo Receita/ Gasto]],2,FALSE))</f>
        <v/>
      </c>
      <c r="F870" s="122"/>
      <c r="G870" s="113" t="str">
        <f>IF(Tabela3[[#This Row],[Valor]]="","",G869+F870)</f>
        <v/>
      </c>
      <c r="H870" s="121"/>
      <c r="I870" s="120"/>
    </row>
    <row r="871" spans="1:9" x14ac:dyDescent="0.25">
      <c r="A871" s="4">
        <f>YEAR(Tabela3[[#This Row],[Data]])</f>
        <v>1900</v>
      </c>
      <c r="B871" s="121"/>
      <c r="C871" s="120"/>
      <c r="D871" s="120"/>
      <c r="E871" s="126" t="str">
        <f>IF(Tabela3[[#This Row],[Descrição]]="","",VLOOKUP(Tabela3[[#This Row],[Descrição]],Tabela4[[Descrição]:[Tipo Receita/ Gasto]],2,FALSE))</f>
        <v/>
      </c>
      <c r="F871" s="122"/>
      <c r="G871" s="113" t="str">
        <f>IF(Tabela3[[#This Row],[Valor]]="","",G870+F871)</f>
        <v/>
      </c>
      <c r="H871" s="121"/>
      <c r="I871" s="120"/>
    </row>
    <row r="872" spans="1:9" x14ac:dyDescent="0.25">
      <c r="A872" s="4">
        <f>YEAR(Tabela3[[#This Row],[Data]])</f>
        <v>1900</v>
      </c>
      <c r="B872" s="121"/>
      <c r="C872" s="120"/>
      <c r="D872" s="120"/>
      <c r="E872" s="126" t="str">
        <f>IF(Tabela3[[#This Row],[Descrição]]="","",VLOOKUP(Tabela3[[#This Row],[Descrição]],Tabela4[[Descrição]:[Tipo Receita/ Gasto]],2,FALSE))</f>
        <v/>
      </c>
      <c r="F872" s="122"/>
      <c r="G872" s="113" t="str">
        <f>IF(Tabela3[[#This Row],[Valor]]="","",G871+F872)</f>
        <v/>
      </c>
      <c r="H872" s="121"/>
      <c r="I872" s="120"/>
    </row>
    <row r="873" spans="1:9" x14ac:dyDescent="0.25">
      <c r="A873" s="4">
        <f>YEAR(Tabela3[[#This Row],[Data]])</f>
        <v>1900</v>
      </c>
      <c r="B873" s="121"/>
      <c r="C873" s="120"/>
      <c r="D873" s="120"/>
      <c r="E873" s="126" t="str">
        <f>IF(Tabela3[[#This Row],[Descrição]]="","",VLOOKUP(Tabela3[[#This Row],[Descrição]],Tabela4[[Descrição]:[Tipo Receita/ Gasto]],2,FALSE))</f>
        <v/>
      </c>
      <c r="F873" s="122"/>
      <c r="G873" s="113" t="str">
        <f>IF(Tabela3[[#This Row],[Valor]]="","",G872+F873)</f>
        <v/>
      </c>
      <c r="H873" s="121"/>
      <c r="I873" s="120"/>
    </row>
    <row r="874" spans="1:9" x14ac:dyDescent="0.25">
      <c r="A874" s="4">
        <f>YEAR(Tabela3[[#This Row],[Data]])</f>
        <v>1900</v>
      </c>
      <c r="B874" s="121"/>
      <c r="C874" s="120"/>
      <c r="D874" s="120"/>
      <c r="E874" s="126" t="str">
        <f>IF(Tabela3[[#This Row],[Descrição]]="","",VLOOKUP(Tabela3[[#This Row],[Descrição]],Tabela4[[Descrição]:[Tipo Receita/ Gasto]],2,FALSE))</f>
        <v/>
      </c>
      <c r="F874" s="122"/>
      <c r="G874" s="113" t="str">
        <f>IF(Tabela3[[#This Row],[Valor]]="","",G873+F874)</f>
        <v/>
      </c>
      <c r="H874" s="121"/>
      <c r="I874" s="120"/>
    </row>
    <row r="875" spans="1:9" x14ac:dyDescent="0.25">
      <c r="A875" s="4">
        <f>YEAR(Tabela3[[#This Row],[Data]])</f>
        <v>1900</v>
      </c>
      <c r="B875" s="121"/>
      <c r="C875" s="120"/>
      <c r="D875" s="120"/>
      <c r="E875" s="126" t="str">
        <f>IF(Tabela3[[#This Row],[Descrição]]="","",VLOOKUP(Tabela3[[#This Row],[Descrição]],Tabela4[[Descrição]:[Tipo Receita/ Gasto]],2,FALSE))</f>
        <v/>
      </c>
      <c r="F875" s="122"/>
      <c r="G875" s="113" t="str">
        <f>IF(Tabela3[[#This Row],[Valor]]="","",G874+F875)</f>
        <v/>
      </c>
      <c r="H875" s="121"/>
      <c r="I875" s="120"/>
    </row>
    <row r="876" spans="1:9" x14ac:dyDescent="0.25">
      <c r="A876" s="4">
        <f>YEAR(Tabela3[[#This Row],[Data]])</f>
        <v>1900</v>
      </c>
      <c r="B876" s="121"/>
      <c r="C876" s="120"/>
      <c r="D876" s="120"/>
      <c r="E876" s="126" t="str">
        <f>IF(Tabela3[[#This Row],[Descrição]]="","",VLOOKUP(Tabela3[[#This Row],[Descrição]],Tabela4[[Descrição]:[Tipo Receita/ Gasto]],2,FALSE))</f>
        <v/>
      </c>
      <c r="F876" s="122"/>
      <c r="G876" s="113" t="str">
        <f>IF(Tabela3[[#This Row],[Valor]]="","",G875+F876)</f>
        <v/>
      </c>
      <c r="H876" s="121"/>
      <c r="I876" s="120"/>
    </row>
    <row r="877" spans="1:9" x14ac:dyDescent="0.25">
      <c r="A877" s="4">
        <f>YEAR(Tabela3[[#This Row],[Data]])</f>
        <v>1900</v>
      </c>
      <c r="B877" s="121"/>
      <c r="C877" s="120"/>
      <c r="D877" s="120"/>
      <c r="E877" s="126" t="str">
        <f>IF(Tabela3[[#This Row],[Descrição]]="","",VLOOKUP(Tabela3[[#This Row],[Descrição]],Tabela4[[Descrição]:[Tipo Receita/ Gasto]],2,FALSE))</f>
        <v/>
      </c>
      <c r="F877" s="122"/>
      <c r="G877" s="113" t="str">
        <f>IF(Tabela3[[#This Row],[Valor]]="","",G876+F877)</f>
        <v/>
      </c>
      <c r="H877" s="121"/>
      <c r="I877" s="120"/>
    </row>
    <row r="878" spans="1:9" x14ac:dyDescent="0.25">
      <c r="A878" s="4">
        <f>YEAR(Tabela3[[#This Row],[Data]])</f>
        <v>1900</v>
      </c>
      <c r="B878" s="121"/>
      <c r="C878" s="120"/>
      <c r="D878" s="120"/>
      <c r="E878" s="126" t="str">
        <f>IF(Tabela3[[#This Row],[Descrição]]="","",VLOOKUP(Tabela3[[#This Row],[Descrição]],Tabela4[[Descrição]:[Tipo Receita/ Gasto]],2,FALSE))</f>
        <v/>
      </c>
      <c r="F878" s="122"/>
      <c r="G878" s="113" t="str">
        <f>IF(Tabela3[[#This Row],[Valor]]="","",G877+F878)</f>
        <v/>
      </c>
      <c r="H878" s="121"/>
      <c r="I878" s="120"/>
    </row>
    <row r="879" spans="1:9" x14ac:dyDescent="0.25">
      <c r="A879" s="4">
        <f>YEAR(Tabela3[[#This Row],[Data]])</f>
        <v>1900</v>
      </c>
      <c r="B879" s="121"/>
      <c r="C879" s="120"/>
      <c r="D879" s="120"/>
      <c r="E879" s="126" t="str">
        <f>IF(Tabela3[[#This Row],[Descrição]]="","",VLOOKUP(Tabela3[[#This Row],[Descrição]],Tabela4[[Descrição]:[Tipo Receita/ Gasto]],2,FALSE))</f>
        <v/>
      </c>
      <c r="F879" s="122"/>
      <c r="G879" s="113" t="str">
        <f>IF(Tabela3[[#This Row],[Valor]]="","",G878+F879)</f>
        <v/>
      </c>
      <c r="H879" s="121"/>
      <c r="I879" s="120"/>
    </row>
    <row r="880" spans="1:9" x14ac:dyDescent="0.25">
      <c r="A880" s="4">
        <f>YEAR(Tabela3[[#This Row],[Data]])</f>
        <v>1900</v>
      </c>
      <c r="B880" s="121"/>
      <c r="C880" s="120"/>
      <c r="D880" s="120"/>
      <c r="E880" s="126" t="str">
        <f>IF(Tabela3[[#This Row],[Descrição]]="","",VLOOKUP(Tabela3[[#This Row],[Descrição]],Tabela4[[Descrição]:[Tipo Receita/ Gasto]],2,FALSE))</f>
        <v/>
      </c>
      <c r="F880" s="122"/>
      <c r="G880" s="113" t="str">
        <f>IF(Tabela3[[#This Row],[Valor]]="","",G879+F880)</f>
        <v/>
      </c>
      <c r="H880" s="121"/>
      <c r="I880" s="120"/>
    </row>
    <row r="881" spans="1:9" x14ac:dyDescent="0.25">
      <c r="A881" s="4">
        <f>YEAR(Tabela3[[#This Row],[Data]])</f>
        <v>1900</v>
      </c>
      <c r="B881" s="121"/>
      <c r="C881" s="120"/>
      <c r="D881" s="120"/>
      <c r="E881" s="126" t="str">
        <f>IF(Tabela3[[#This Row],[Descrição]]="","",VLOOKUP(Tabela3[[#This Row],[Descrição]],Tabela4[[Descrição]:[Tipo Receita/ Gasto]],2,FALSE))</f>
        <v/>
      </c>
      <c r="F881" s="122"/>
      <c r="G881" s="113" t="str">
        <f>IF(Tabela3[[#This Row],[Valor]]="","",G880+F881)</f>
        <v/>
      </c>
      <c r="H881" s="121"/>
      <c r="I881" s="120"/>
    </row>
    <row r="882" spans="1:9" x14ac:dyDescent="0.25">
      <c r="A882" s="4">
        <f>YEAR(Tabela3[[#This Row],[Data]])</f>
        <v>1900</v>
      </c>
      <c r="B882" s="121"/>
      <c r="C882" s="120"/>
      <c r="D882" s="120"/>
      <c r="E882" s="126" t="str">
        <f>IF(Tabela3[[#This Row],[Descrição]]="","",VLOOKUP(Tabela3[[#This Row],[Descrição]],Tabela4[[Descrição]:[Tipo Receita/ Gasto]],2,FALSE))</f>
        <v/>
      </c>
      <c r="F882" s="122"/>
      <c r="G882" s="113" t="str">
        <f>IF(Tabela3[[#This Row],[Valor]]="","",G881+F882)</f>
        <v/>
      </c>
      <c r="H882" s="121"/>
      <c r="I882" s="120"/>
    </row>
    <row r="883" spans="1:9" x14ac:dyDescent="0.25">
      <c r="A883" s="4">
        <f>YEAR(Tabela3[[#This Row],[Data]])</f>
        <v>1900</v>
      </c>
      <c r="B883" s="121"/>
      <c r="C883" s="120"/>
      <c r="D883" s="120"/>
      <c r="E883" s="126" t="str">
        <f>IF(Tabela3[[#This Row],[Descrição]]="","",VLOOKUP(Tabela3[[#This Row],[Descrição]],Tabela4[[Descrição]:[Tipo Receita/ Gasto]],2,FALSE))</f>
        <v/>
      </c>
      <c r="F883" s="122"/>
      <c r="G883" s="113" t="str">
        <f>IF(Tabela3[[#This Row],[Valor]]="","",G882+F883)</f>
        <v/>
      </c>
      <c r="H883" s="121"/>
      <c r="I883" s="120"/>
    </row>
    <row r="884" spans="1:9" x14ac:dyDescent="0.25">
      <c r="A884" s="4">
        <f>YEAR(Tabela3[[#This Row],[Data]])</f>
        <v>1900</v>
      </c>
      <c r="B884" s="121"/>
      <c r="C884" s="120"/>
      <c r="D884" s="120"/>
      <c r="E884" s="126" t="str">
        <f>IF(Tabela3[[#This Row],[Descrição]]="","",VLOOKUP(Tabela3[[#This Row],[Descrição]],Tabela4[[Descrição]:[Tipo Receita/ Gasto]],2,FALSE))</f>
        <v/>
      </c>
      <c r="F884" s="122"/>
      <c r="G884" s="113" t="str">
        <f>IF(Tabela3[[#This Row],[Valor]]="","",G883+F884)</f>
        <v/>
      </c>
      <c r="H884" s="121"/>
      <c r="I884" s="120"/>
    </row>
    <row r="885" spans="1:9" x14ac:dyDescent="0.25">
      <c r="A885" s="4">
        <f>YEAR(Tabela3[[#This Row],[Data]])</f>
        <v>1900</v>
      </c>
      <c r="B885" s="121"/>
      <c r="C885" s="120"/>
      <c r="D885" s="120"/>
      <c r="E885" s="126" t="str">
        <f>IF(Tabela3[[#This Row],[Descrição]]="","",VLOOKUP(Tabela3[[#This Row],[Descrição]],Tabela4[[Descrição]:[Tipo Receita/ Gasto]],2,FALSE))</f>
        <v/>
      </c>
      <c r="F885" s="122"/>
      <c r="G885" s="113" t="str">
        <f>IF(Tabela3[[#This Row],[Valor]]="","",G884+F885)</f>
        <v/>
      </c>
      <c r="H885" s="121"/>
      <c r="I885" s="120"/>
    </row>
    <row r="886" spans="1:9" x14ac:dyDescent="0.25">
      <c r="A886" s="4">
        <f>YEAR(Tabela3[[#This Row],[Data]])</f>
        <v>1900</v>
      </c>
      <c r="B886" s="121"/>
      <c r="C886" s="120"/>
      <c r="D886" s="120"/>
      <c r="E886" s="126" t="str">
        <f>IF(Tabela3[[#This Row],[Descrição]]="","",VLOOKUP(Tabela3[[#This Row],[Descrição]],Tabela4[[Descrição]:[Tipo Receita/ Gasto]],2,FALSE))</f>
        <v/>
      </c>
      <c r="F886" s="122"/>
      <c r="G886" s="113" t="str">
        <f>IF(Tabela3[[#This Row],[Valor]]="","",G885+F886)</f>
        <v/>
      </c>
      <c r="H886" s="121"/>
      <c r="I886" s="120"/>
    </row>
    <row r="887" spans="1:9" x14ac:dyDescent="0.25">
      <c r="A887" s="4">
        <f>YEAR(Tabela3[[#This Row],[Data]])</f>
        <v>1900</v>
      </c>
      <c r="B887" s="121"/>
      <c r="C887" s="120"/>
      <c r="D887" s="120"/>
      <c r="E887" s="126" t="str">
        <f>IF(Tabela3[[#This Row],[Descrição]]="","",VLOOKUP(Tabela3[[#This Row],[Descrição]],Tabela4[[Descrição]:[Tipo Receita/ Gasto]],2,FALSE))</f>
        <v/>
      </c>
      <c r="F887" s="122"/>
      <c r="G887" s="113" t="str">
        <f>IF(Tabela3[[#This Row],[Valor]]="","",G886+F887)</f>
        <v/>
      </c>
      <c r="H887" s="121"/>
      <c r="I887" s="120"/>
    </row>
    <row r="888" spans="1:9" x14ac:dyDescent="0.25">
      <c r="A888" s="4">
        <f>YEAR(Tabela3[[#This Row],[Data]])</f>
        <v>1900</v>
      </c>
      <c r="B888" s="121"/>
      <c r="C888" s="120"/>
      <c r="D888" s="120"/>
      <c r="E888" s="126" t="str">
        <f>IF(Tabela3[[#This Row],[Descrição]]="","",VLOOKUP(Tabela3[[#This Row],[Descrição]],Tabela4[[Descrição]:[Tipo Receita/ Gasto]],2,FALSE))</f>
        <v/>
      </c>
      <c r="F888" s="122"/>
      <c r="G888" s="113" t="str">
        <f>IF(Tabela3[[#This Row],[Valor]]="","",G887+F888)</f>
        <v/>
      </c>
      <c r="H888" s="121"/>
      <c r="I888" s="120"/>
    </row>
    <row r="889" spans="1:9" x14ac:dyDescent="0.25">
      <c r="A889" s="4">
        <f>YEAR(Tabela3[[#This Row],[Data]])</f>
        <v>1900</v>
      </c>
      <c r="B889" s="121"/>
      <c r="C889" s="120"/>
      <c r="D889" s="120"/>
      <c r="E889" s="126" t="str">
        <f>IF(Tabela3[[#This Row],[Descrição]]="","",VLOOKUP(Tabela3[[#This Row],[Descrição]],Tabela4[[Descrição]:[Tipo Receita/ Gasto]],2,FALSE))</f>
        <v/>
      </c>
      <c r="F889" s="122"/>
      <c r="G889" s="113" t="str">
        <f>IF(Tabela3[[#This Row],[Valor]]="","",G888+F889)</f>
        <v/>
      </c>
      <c r="H889" s="121"/>
      <c r="I889" s="120"/>
    </row>
    <row r="890" spans="1:9" x14ac:dyDescent="0.25">
      <c r="A890" s="4">
        <f>YEAR(Tabela3[[#This Row],[Data]])</f>
        <v>1900</v>
      </c>
      <c r="B890" s="121"/>
      <c r="C890" s="120"/>
      <c r="D890" s="120"/>
      <c r="E890" s="126" t="str">
        <f>IF(Tabela3[[#This Row],[Descrição]]="","",VLOOKUP(Tabela3[[#This Row],[Descrição]],Tabela4[[Descrição]:[Tipo Receita/ Gasto]],2,FALSE))</f>
        <v/>
      </c>
      <c r="F890" s="122"/>
      <c r="G890" s="113" t="str">
        <f>IF(Tabela3[[#This Row],[Valor]]="","",G889+F890)</f>
        <v/>
      </c>
      <c r="H890" s="121"/>
      <c r="I890" s="120"/>
    </row>
    <row r="891" spans="1:9" x14ac:dyDescent="0.25">
      <c r="A891" s="4">
        <f>YEAR(Tabela3[[#This Row],[Data]])</f>
        <v>1900</v>
      </c>
      <c r="B891" s="121"/>
      <c r="C891" s="120"/>
      <c r="D891" s="120"/>
      <c r="E891" s="126" t="str">
        <f>IF(Tabela3[[#This Row],[Descrição]]="","",VLOOKUP(Tabela3[[#This Row],[Descrição]],Tabela4[[Descrição]:[Tipo Receita/ Gasto]],2,FALSE))</f>
        <v/>
      </c>
      <c r="F891" s="122"/>
      <c r="G891" s="113" t="str">
        <f>IF(Tabela3[[#This Row],[Valor]]="","",G890+F891)</f>
        <v/>
      </c>
      <c r="H891" s="121"/>
      <c r="I891" s="120"/>
    </row>
    <row r="892" spans="1:9" x14ac:dyDescent="0.25">
      <c r="A892" s="4">
        <f>YEAR(Tabela3[[#This Row],[Data]])</f>
        <v>1900</v>
      </c>
      <c r="B892" s="121"/>
      <c r="C892" s="120"/>
      <c r="D892" s="120"/>
      <c r="E892" s="126" t="str">
        <f>IF(Tabela3[[#This Row],[Descrição]]="","",VLOOKUP(Tabela3[[#This Row],[Descrição]],Tabela4[[Descrição]:[Tipo Receita/ Gasto]],2,FALSE))</f>
        <v/>
      </c>
      <c r="F892" s="122"/>
      <c r="G892" s="113" t="str">
        <f>IF(Tabela3[[#This Row],[Valor]]="","",G891+F892)</f>
        <v/>
      </c>
      <c r="H892" s="121"/>
      <c r="I892" s="120"/>
    </row>
    <row r="893" spans="1:9" x14ac:dyDescent="0.25">
      <c r="A893" s="4">
        <f>YEAR(Tabela3[[#This Row],[Data]])</f>
        <v>1900</v>
      </c>
      <c r="B893" s="121"/>
      <c r="C893" s="120"/>
      <c r="D893" s="120"/>
      <c r="E893" s="126" t="str">
        <f>IF(Tabela3[[#This Row],[Descrição]]="","",VLOOKUP(Tabela3[[#This Row],[Descrição]],Tabela4[[Descrição]:[Tipo Receita/ Gasto]],2,FALSE))</f>
        <v/>
      </c>
      <c r="F893" s="122"/>
      <c r="G893" s="113" t="str">
        <f>IF(Tabela3[[#This Row],[Valor]]="","",G892+F893)</f>
        <v/>
      </c>
      <c r="H893" s="121"/>
      <c r="I893" s="120"/>
    </row>
    <row r="894" spans="1:9" x14ac:dyDescent="0.25">
      <c r="A894" s="4">
        <f>YEAR(Tabela3[[#This Row],[Data]])</f>
        <v>1900</v>
      </c>
      <c r="B894" s="121"/>
      <c r="C894" s="120"/>
      <c r="D894" s="120"/>
      <c r="E894" s="126" t="str">
        <f>IF(Tabela3[[#This Row],[Descrição]]="","",VLOOKUP(Tabela3[[#This Row],[Descrição]],Tabela4[[Descrição]:[Tipo Receita/ Gasto]],2,FALSE))</f>
        <v/>
      </c>
      <c r="F894" s="122"/>
      <c r="G894" s="113" t="str">
        <f>IF(Tabela3[[#This Row],[Valor]]="","",G893+F894)</f>
        <v/>
      </c>
      <c r="H894" s="121"/>
      <c r="I894" s="120"/>
    </row>
    <row r="895" spans="1:9" x14ac:dyDescent="0.25">
      <c r="A895" s="4">
        <f>YEAR(Tabela3[[#This Row],[Data]])</f>
        <v>1900</v>
      </c>
      <c r="B895" s="121"/>
      <c r="C895" s="120"/>
      <c r="D895" s="120"/>
      <c r="E895" s="126" t="str">
        <f>IF(Tabela3[[#This Row],[Descrição]]="","",VLOOKUP(Tabela3[[#This Row],[Descrição]],Tabela4[[Descrição]:[Tipo Receita/ Gasto]],2,FALSE))</f>
        <v/>
      </c>
      <c r="F895" s="122"/>
      <c r="G895" s="113" t="str">
        <f>IF(Tabela3[[#This Row],[Valor]]="","",G894+F895)</f>
        <v/>
      </c>
      <c r="H895" s="121"/>
      <c r="I895" s="120"/>
    </row>
    <row r="896" spans="1:9" x14ac:dyDescent="0.25">
      <c r="A896" s="4">
        <f>YEAR(Tabela3[[#This Row],[Data]])</f>
        <v>1900</v>
      </c>
      <c r="B896" s="121"/>
      <c r="C896" s="120"/>
      <c r="D896" s="120"/>
      <c r="E896" s="126" t="str">
        <f>IF(Tabela3[[#This Row],[Descrição]]="","",VLOOKUP(Tabela3[[#This Row],[Descrição]],Tabela4[[Descrição]:[Tipo Receita/ Gasto]],2,FALSE))</f>
        <v/>
      </c>
      <c r="F896" s="122"/>
      <c r="G896" s="113" t="str">
        <f>IF(Tabela3[[#This Row],[Valor]]="","",G895+F896)</f>
        <v/>
      </c>
      <c r="H896" s="121"/>
      <c r="I896" s="120"/>
    </row>
    <row r="897" spans="1:9" x14ac:dyDescent="0.25">
      <c r="A897" s="4">
        <f>YEAR(Tabela3[[#This Row],[Data]])</f>
        <v>1900</v>
      </c>
      <c r="B897" s="121"/>
      <c r="C897" s="120"/>
      <c r="D897" s="120"/>
      <c r="E897" s="126" t="str">
        <f>IF(Tabela3[[#This Row],[Descrição]]="","",VLOOKUP(Tabela3[[#This Row],[Descrição]],Tabela4[[Descrição]:[Tipo Receita/ Gasto]],2,FALSE))</f>
        <v/>
      </c>
      <c r="F897" s="122"/>
      <c r="G897" s="113" t="str">
        <f>IF(Tabela3[[#This Row],[Valor]]="","",G896+F897)</f>
        <v/>
      </c>
      <c r="H897" s="121"/>
      <c r="I897" s="120"/>
    </row>
    <row r="898" spans="1:9" x14ac:dyDescent="0.25">
      <c r="A898" s="4">
        <f>YEAR(Tabela3[[#This Row],[Data]])</f>
        <v>1900</v>
      </c>
      <c r="B898" s="121"/>
      <c r="C898" s="120"/>
      <c r="D898" s="120"/>
      <c r="E898" s="126" t="str">
        <f>IF(Tabela3[[#This Row],[Descrição]]="","",VLOOKUP(Tabela3[[#This Row],[Descrição]],Tabela4[[Descrição]:[Tipo Receita/ Gasto]],2,FALSE))</f>
        <v/>
      </c>
      <c r="F898" s="122"/>
      <c r="G898" s="113" t="str">
        <f>IF(Tabela3[[#This Row],[Valor]]="","",G897+F898)</f>
        <v/>
      </c>
      <c r="H898" s="121"/>
      <c r="I898" s="120"/>
    </row>
    <row r="899" spans="1:9" x14ac:dyDescent="0.25">
      <c r="A899" s="4">
        <f>YEAR(Tabela3[[#This Row],[Data]])</f>
        <v>1900</v>
      </c>
      <c r="B899" s="121"/>
      <c r="C899" s="120"/>
      <c r="D899" s="120"/>
      <c r="E899" s="126" t="str">
        <f>IF(Tabela3[[#This Row],[Descrição]]="","",VLOOKUP(Tabela3[[#This Row],[Descrição]],Tabela4[[Descrição]:[Tipo Receita/ Gasto]],2,FALSE))</f>
        <v/>
      </c>
      <c r="F899" s="122"/>
      <c r="G899" s="113" t="str">
        <f>IF(Tabela3[[#This Row],[Valor]]="","",G898+F899)</f>
        <v/>
      </c>
      <c r="H899" s="121"/>
      <c r="I899" s="120"/>
    </row>
    <row r="900" spans="1:9" x14ac:dyDescent="0.25">
      <c r="A900" s="4">
        <f>YEAR(Tabela3[[#This Row],[Data]])</f>
        <v>1900</v>
      </c>
      <c r="B900" s="121"/>
      <c r="C900" s="120"/>
      <c r="D900" s="120"/>
      <c r="E900" s="126" t="str">
        <f>IF(Tabela3[[#This Row],[Descrição]]="","",VLOOKUP(Tabela3[[#This Row],[Descrição]],Tabela4[[Descrição]:[Tipo Receita/ Gasto]],2,FALSE))</f>
        <v/>
      </c>
      <c r="F900" s="122"/>
      <c r="G900" s="113" t="str">
        <f>IF(Tabela3[[#This Row],[Valor]]="","",G899+F900)</f>
        <v/>
      </c>
      <c r="H900" s="121"/>
      <c r="I900" s="120"/>
    </row>
    <row r="901" spans="1:9" x14ac:dyDescent="0.25">
      <c r="A901" s="4">
        <f>YEAR(Tabela3[[#This Row],[Data]])</f>
        <v>1900</v>
      </c>
      <c r="B901" s="121"/>
      <c r="C901" s="120"/>
      <c r="D901" s="120"/>
      <c r="E901" s="126" t="str">
        <f>IF(Tabela3[[#This Row],[Descrição]]="","",VLOOKUP(Tabela3[[#This Row],[Descrição]],Tabela4[[Descrição]:[Tipo Receita/ Gasto]],2,FALSE))</f>
        <v/>
      </c>
      <c r="F901" s="122"/>
      <c r="G901" s="113" t="str">
        <f>IF(Tabela3[[#This Row],[Valor]]="","",G900+F901)</f>
        <v/>
      </c>
      <c r="H901" s="121"/>
      <c r="I901" s="120"/>
    </row>
    <row r="902" spans="1:9" x14ac:dyDescent="0.25">
      <c r="A902" s="4">
        <f>YEAR(Tabela3[[#This Row],[Data]])</f>
        <v>1900</v>
      </c>
      <c r="B902" s="121"/>
      <c r="C902" s="120"/>
      <c r="D902" s="120"/>
      <c r="E902" s="126" t="str">
        <f>IF(Tabela3[[#This Row],[Descrição]]="","",VLOOKUP(Tabela3[[#This Row],[Descrição]],Tabela4[[Descrição]:[Tipo Receita/ Gasto]],2,FALSE))</f>
        <v/>
      </c>
      <c r="F902" s="122"/>
      <c r="G902" s="113" t="str">
        <f>IF(Tabela3[[#This Row],[Valor]]="","",G901+F902)</f>
        <v/>
      </c>
      <c r="H902" s="121"/>
      <c r="I902" s="120"/>
    </row>
    <row r="903" spans="1:9" x14ac:dyDescent="0.25">
      <c r="A903" s="4">
        <f>YEAR(Tabela3[[#This Row],[Data]])</f>
        <v>1900</v>
      </c>
      <c r="B903" s="121"/>
      <c r="C903" s="120"/>
      <c r="D903" s="120"/>
      <c r="E903" s="126" t="str">
        <f>IF(Tabela3[[#This Row],[Descrição]]="","",VLOOKUP(Tabela3[[#This Row],[Descrição]],Tabela4[[Descrição]:[Tipo Receita/ Gasto]],2,FALSE))</f>
        <v/>
      </c>
      <c r="F903" s="122"/>
      <c r="G903" s="113" t="str">
        <f>IF(Tabela3[[#This Row],[Valor]]="","",G902+F903)</f>
        <v/>
      </c>
      <c r="H903" s="121"/>
      <c r="I903" s="120"/>
    </row>
    <row r="904" spans="1:9" x14ac:dyDescent="0.25">
      <c r="A904" s="4">
        <f>YEAR(Tabela3[[#This Row],[Data]])</f>
        <v>1900</v>
      </c>
      <c r="B904" s="121"/>
      <c r="C904" s="120"/>
      <c r="D904" s="120"/>
      <c r="E904" s="126" t="str">
        <f>IF(Tabela3[[#This Row],[Descrição]]="","",VLOOKUP(Tabela3[[#This Row],[Descrição]],Tabela4[[Descrição]:[Tipo Receita/ Gasto]],2,FALSE))</f>
        <v/>
      </c>
      <c r="F904" s="122"/>
      <c r="G904" s="113" t="str">
        <f>IF(Tabela3[[#This Row],[Valor]]="","",G903+F904)</f>
        <v/>
      </c>
      <c r="H904" s="121"/>
      <c r="I904" s="120"/>
    </row>
    <row r="905" spans="1:9" x14ac:dyDescent="0.25">
      <c r="A905" s="4">
        <f>YEAR(Tabela3[[#This Row],[Data]])</f>
        <v>1900</v>
      </c>
      <c r="B905" s="121"/>
      <c r="C905" s="120"/>
      <c r="D905" s="120"/>
      <c r="E905" s="126" t="str">
        <f>IF(Tabela3[[#This Row],[Descrição]]="","",VLOOKUP(Tabela3[[#This Row],[Descrição]],Tabela4[[Descrição]:[Tipo Receita/ Gasto]],2,FALSE))</f>
        <v/>
      </c>
      <c r="F905" s="122"/>
      <c r="G905" s="113" t="str">
        <f>IF(Tabela3[[#This Row],[Valor]]="","",G904+F905)</f>
        <v/>
      </c>
      <c r="H905" s="121"/>
      <c r="I905" s="120"/>
    </row>
    <row r="906" spans="1:9" x14ac:dyDescent="0.25">
      <c r="A906" s="4">
        <f>YEAR(Tabela3[[#This Row],[Data]])</f>
        <v>1900</v>
      </c>
      <c r="B906" s="121"/>
      <c r="C906" s="120"/>
      <c r="D906" s="120"/>
      <c r="E906" s="126" t="str">
        <f>IF(Tabela3[[#This Row],[Descrição]]="","",VLOOKUP(Tabela3[[#This Row],[Descrição]],Tabela4[[Descrição]:[Tipo Receita/ Gasto]],2,FALSE))</f>
        <v/>
      </c>
      <c r="F906" s="122"/>
      <c r="G906" s="113" t="str">
        <f>IF(Tabela3[[#This Row],[Valor]]="","",G905+F906)</f>
        <v/>
      </c>
      <c r="H906" s="121"/>
      <c r="I906" s="120"/>
    </row>
    <row r="907" spans="1:9" x14ac:dyDescent="0.25">
      <c r="A907" s="4">
        <f>YEAR(Tabela3[[#This Row],[Data]])</f>
        <v>1900</v>
      </c>
      <c r="B907" s="121"/>
      <c r="C907" s="120"/>
      <c r="D907" s="120"/>
      <c r="E907" s="126" t="str">
        <f>IF(Tabela3[[#This Row],[Descrição]]="","",VLOOKUP(Tabela3[[#This Row],[Descrição]],Tabela4[[Descrição]:[Tipo Receita/ Gasto]],2,FALSE))</f>
        <v/>
      </c>
      <c r="F907" s="122"/>
      <c r="G907" s="113" t="str">
        <f>IF(Tabela3[[#This Row],[Valor]]="","",G906+F907)</f>
        <v/>
      </c>
      <c r="H907" s="121"/>
      <c r="I907" s="120"/>
    </row>
    <row r="908" spans="1:9" x14ac:dyDescent="0.25">
      <c r="A908" s="4">
        <f>YEAR(Tabela3[[#This Row],[Data]])</f>
        <v>1900</v>
      </c>
      <c r="B908" s="121"/>
      <c r="C908" s="120"/>
      <c r="D908" s="120"/>
      <c r="E908" s="126" t="str">
        <f>IF(Tabela3[[#This Row],[Descrição]]="","",VLOOKUP(Tabela3[[#This Row],[Descrição]],Tabela4[[Descrição]:[Tipo Receita/ Gasto]],2,FALSE))</f>
        <v/>
      </c>
      <c r="F908" s="122"/>
      <c r="G908" s="113" t="str">
        <f>IF(Tabela3[[#This Row],[Valor]]="","",G907+F908)</f>
        <v/>
      </c>
      <c r="H908" s="121"/>
      <c r="I908" s="120"/>
    </row>
    <row r="909" spans="1:9" x14ac:dyDescent="0.25">
      <c r="A909" s="4">
        <f>YEAR(Tabela3[[#This Row],[Data]])</f>
        <v>1900</v>
      </c>
      <c r="B909" s="121"/>
      <c r="C909" s="120"/>
      <c r="D909" s="120"/>
      <c r="E909" s="126" t="str">
        <f>IF(Tabela3[[#This Row],[Descrição]]="","",VLOOKUP(Tabela3[[#This Row],[Descrição]],Tabela4[[Descrição]:[Tipo Receita/ Gasto]],2,FALSE))</f>
        <v/>
      </c>
      <c r="F909" s="122"/>
      <c r="G909" s="113" t="str">
        <f>IF(Tabela3[[#This Row],[Valor]]="","",G908+F909)</f>
        <v/>
      </c>
      <c r="H909" s="121"/>
      <c r="I909" s="120"/>
    </row>
    <row r="910" spans="1:9" x14ac:dyDescent="0.25">
      <c r="A910" s="4">
        <f>YEAR(Tabela3[[#This Row],[Data]])</f>
        <v>1900</v>
      </c>
      <c r="B910" s="121"/>
      <c r="C910" s="120"/>
      <c r="D910" s="120"/>
      <c r="E910" s="126" t="str">
        <f>IF(Tabela3[[#This Row],[Descrição]]="","",VLOOKUP(Tabela3[[#This Row],[Descrição]],Tabela4[[Descrição]:[Tipo Receita/ Gasto]],2,FALSE))</f>
        <v/>
      </c>
      <c r="F910" s="122"/>
      <c r="G910" s="113" t="str">
        <f>IF(Tabela3[[#This Row],[Valor]]="","",G909+F910)</f>
        <v/>
      </c>
      <c r="H910" s="121"/>
      <c r="I910" s="120"/>
    </row>
    <row r="911" spans="1:9" x14ac:dyDescent="0.25">
      <c r="A911" s="4">
        <f>YEAR(Tabela3[[#This Row],[Data]])</f>
        <v>1900</v>
      </c>
      <c r="B911" s="121"/>
      <c r="C911" s="120"/>
      <c r="D911" s="120"/>
      <c r="E911" s="126" t="str">
        <f>IF(Tabela3[[#This Row],[Descrição]]="","",VLOOKUP(Tabela3[[#This Row],[Descrição]],Tabela4[[Descrição]:[Tipo Receita/ Gasto]],2,FALSE))</f>
        <v/>
      </c>
      <c r="F911" s="122"/>
      <c r="G911" s="113" t="str">
        <f>IF(Tabela3[[#This Row],[Valor]]="","",G910+F911)</f>
        <v/>
      </c>
      <c r="H911" s="121"/>
      <c r="I911" s="120"/>
    </row>
    <row r="912" spans="1:9" x14ac:dyDescent="0.25">
      <c r="A912" s="4">
        <f>YEAR(Tabela3[[#This Row],[Data]])</f>
        <v>1900</v>
      </c>
      <c r="B912" s="121"/>
      <c r="C912" s="120"/>
      <c r="D912" s="120"/>
      <c r="E912" s="126" t="str">
        <f>IF(Tabela3[[#This Row],[Descrição]]="","",VLOOKUP(Tabela3[[#This Row],[Descrição]],Tabela4[[Descrição]:[Tipo Receita/ Gasto]],2,FALSE))</f>
        <v/>
      </c>
      <c r="F912" s="122"/>
      <c r="G912" s="113" t="str">
        <f>IF(Tabela3[[#This Row],[Valor]]="","",G911+F912)</f>
        <v/>
      </c>
      <c r="H912" s="121"/>
      <c r="I912" s="120"/>
    </row>
    <row r="913" spans="1:9" x14ac:dyDescent="0.25">
      <c r="A913" s="4">
        <f>YEAR(Tabela3[[#This Row],[Data]])</f>
        <v>1900</v>
      </c>
      <c r="B913" s="121"/>
      <c r="C913" s="120"/>
      <c r="D913" s="120"/>
      <c r="E913" s="126" t="str">
        <f>IF(Tabela3[[#This Row],[Descrição]]="","",VLOOKUP(Tabela3[[#This Row],[Descrição]],Tabela4[[Descrição]:[Tipo Receita/ Gasto]],2,FALSE))</f>
        <v/>
      </c>
      <c r="F913" s="122"/>
      <c r="G913" s="113" t="str">
        <f>IF(Tabela3[[#This Row],[Valor]]="","",G912+F913)</f>
        <v/>
      </c>
      <c r="H913" s="121"/>
      <c r="I913" s="120"/>
    </row>
    <row r="914" spans="1:9" x14ac:dyDescent="0.25">
      <c r="A914" s="4">
        <f>YEAR(Tabela3[[#This Row],[Data]])</f>
        <v>1900</v>
      </c>
      <c r="B914" s="121"/>
      <c r="C914" s="120"/>
      <c r="D914" s="120"/>
      <c r="E914" s="126" t="str">
        <f>IF(Tabela3[[#This Row],[Descrição]]="","",VLOOKUP(Tabela3[[#This Row],[Descrição]],Tabela4[[Descrição]:[Tipo Receita/ Gasto]],2,FALSE))</f>
        <v/>
      </c>
      <c r="F914" s="122"/>
      <c r="G914" s="113" t="str">
        <f>IF(Tabela3[[#This Row],[Valor]]="","",G913+F914)</f>
        <v/>
      </c>
      <c r="H914" s="121"/>
      <c r="I914" s="120"/>
    </row>
    <row r="915" spans="1:9" x14ac:dyDescent="0.25">
      <c r="A915" s="4">
        <f>YEAR(Tabela3[[#This Row],[Data]])</f>
        <v>1900</v>
      </c>
      <c r="B915" s="121"/>
      <c r="C915" s="120"/>
      <c r="D915" s="120"/>
      <c r="E915" s="126" t="str">
        <f>IF(Tabela3[[#This Row],[Descrição]]="","",VLOOKUP(Tabela3[[#This Row],[Descrição]],Tabela4[[Descrição]:[Tipo Receita/ Gasto]],2,FALSE))</f>
        <v/>
      </c>
      <c r="F915" s="122"/>
      <c r="G915" s="113" t="str">
        <f>IF(Tabela3[[#This Row],[Valor]]="","",G914+F915)</f>
        <v/>
      </c>
      <c r="H915" s="121"/>
      <c r="I915" s="120"/>
    </row>
    <row r="916" spans="1:9" x14ac:dyDescent="0.25">
      <c r="A916" s="4">
        <f>YEAR(Tabela3[[#This Row],[Data]])</f>
        <v>1900</v>
      </c>
      <c r="B916" s="121"/>
      <c r="C916" s="120"/>
      <c r="D916" s="120"/>
      <c r="E916" s="126" t="str">
        <f>IF(Tabela3[[#This Row],[Descrição]]="","",VLOOKUP(Tabela3[[#This Row],[Descrição]],Tabela4[[Descrição]:[Tipo Receita/ Gasto]],2,FALSE))</f>
        <v/>
      </c>
      <c r="F916" s="122"/>
      <c r="G916" s="113" t="str">
        <f>IF(Tabela3[[#This Row],[Valor]]="","",G915+F916)</f>
        <v/>
      </c>
      <c r="H916" s="121"/>
      <c r="I916" s="120"/>
    </row>
    <row r="917" spans="1:9" x14ac:dyDescent="0.25">
      <c r="A917" s="4">
        <f>YEAR(Tabela3[[#This Row],[Data]])</f>
        <v>1900</v>
      </c>
      <c r="B917" s="121"/>
      <c r="C917" s="120"/>
      <c r="D917" s="120"/>
      <c r="E917" s="126" t="str">
        <f>IF(Tabela3[[#This Row],[Descrição]]="","",VLOOKUP(Tabela3[[#This Row],[Descrição]],Tabela4[[Descrição]:[Tipo Receita/ Gasto]],2,FALSE))</f>
        <v/>
      </c>
      <c r="F917" s="122"/>
      <c r="G917" s="113" t="str">
        <f>IF(Tabela3[[#This Row],[Valor]]="","",G916+F917)</f>
        <v/>
      </c>
      <c r="H917" s="121"/>
      <c r="I917" s="120"/>
    </row>
    <row r="918" spans="1:9" x14ac:dyDescent="0.25">
      <c r="A918" s="4">
        <f>YEAR(Tabela3[[#This Row],[Data]])</f>
        <v>1900</v>
      </c>
      <c r="B918" s="121"/>
      <c r="C918" s="120"/>
      <c r="D918" s="120"/>
      <c r="E918" s="126" t="str">
        <f>IF(Tabela3[[#This Row],[Descrição]]="","",VLOOKUP(Tabela3[[#This Row],[Descrição]],Tabela4[[Descrição]:[Tipo Receita/ Gasto]],2,FALSE))</f>
        <v/>
      </c>
      <c r="F918" s="122"/>
      <c r="G918" s="113" t="str">
        <f>IF(Tabela3[[#This Row],[Valor]]="","",G917+F918)</f>
        <v/>
      </c>
      <c r="H918" s="121"/>
      <c r="I918" s="120"/>
    </row>
    <row r="919" spans="1:9" x14ac:dyDescent="0.25">
      <c r="A919" s="4">
        <f>YEAR(Tabela3[[#This Row],[Data]])</f>
        <v>1900</v>
      </c>
      <c r="B919" s="121"/>
      <c r="C919" s="120"/>
      <c r="D919" s="120"/>
      <c r="E919" s="126" t="str">
        <f>IF(Tabela3[[#This Row],[Descrição]]="","",VLOOKUP(Tabela3[[#This Row],[Descrição]],Tabela4[[Descrição]:[Tipo Receita/ Gasto]],2,FALSE))</f>
        <v/>
      </c>
      <c r="F919" s="122"/>
      <c r="G919" s="113" t="str">
        <f>IF(Tabela3[[#This Row],[Valor]]="","",G918+F919)</f>
        <v/>
      </c>
      <c r="H919" s="121"/>
      <c r="I919" s="120"/>
    </row>
    <row r="920" spans="1:9" x14ac:dyDescent="0.25">
      <c r="A920" s="4">
        <f>YEAR(Tabela3[[#This Row],[Data]])</f>
        <v>1900</v>
      </c>
      <c r="B920" s="121"/>
      <c r="C920" s="120"/>
      <c r="D920" s="120"/>
      <c r="E920" s="126" t="str">
        <f>IF(Tabela3[[#This Row],[Descrição]]="","",VLOOKUP(Tabela3[[#This Row],[Descrição]],Tabela4[[Descrição]:[Tipo Receita/ Gasto]],2,FALSE))</f>
        <v/>
      </c>
      <c r="F920" s="122"/>
      <c r="G920" s="113" t="str">
        <f>IF(Tabela3[[#This Row],[Valor]]="","",G919+F920)</f>
        <v/>
      </c>
      <c r="H920" s="121"/>
      <c r="I920" s="120"/>
    </row>
    <row r="921" spans="1:9" x14ac:dyDescent="0.25">
      <c r="A921" s="4">
        <f>YEAR(Tabela3[[#This Row],[Data]])</f>
        <v>1900</v>
      </c>
      <c r="B921" s="121"/>
      <c r="C921" s="120"/>
      <c r="D921" s="120"/>
      <c r="E921" s="126" t="str">
        <f>IF(Tabela3[[#This Row],[Descrição]]="","",VLOOKUP(Tabela3[[#This Row],[Descrição]],Tabela4[[Descrição]:[Tipo Receita/ Gasto]],2,FALSE))</f>
        <v/>
      </c>
      <c r="F921" s="122"/>
      <c r="G921" s="113" t="str">
        <f>IF(Tabela3[[#This Row],[Valor]]="","",G920+F921)</f>
        <v/>
      </c>
      <c r="H921" s="121"/>
      <c r="I921" s="120"/>
    </row>
    <row r="922" spans="1:9" x14ac:dyDescent="0.25">
      <c r="A922" s="4">
        <f>YEAR(Tabela3[[#This Row],[Data]])</f>
        <v>1900</v>
      </c>
      <c r="B922" s="121"/>
      <c r="C922" s="120"/>
      <c r="D922" s="120"/>
      <c r="E922" s="126" t="str">
        <f>IF(Tabela3[[#This Row],[Descrição]]="","",VLOOKUP(Tabela3[[#This Row],[Descrição]],Tabela4[[Descrição]:[Tipo Receita/ Gasto]],2,FALSE))</f>
        <v/>
      </c>
      <c r="F922" s="122"/>
      <c r="G922" s="113" t="str">
        <f>IF(Tabela3[[#This Row],[Valor]]="","",G921+F922)</f>
        <v/>
      </c>
      <c r="H922" s="121"/>
      <c r="I922" s="120"/>
    </row>
    <row r="923" spans="1:9" x14ac:dyDescent="0.25">
      <c r="A923" s="4">
        <f>YEAR(Tabela3[[#This Row],[Data]])</f>
        <v>1900</v>
      </c>
      <c r="B923" s="121"/>
      <c r="C923" s="120"/>
      <c r="D923" s="120"/>
      <c r="E923" s="126" t="str">
        <f>IF(Tabela3[[#This Row],[Descrição]]="","",VLOOKUP(Tabela3[[#This Row],[Descrição]],Tabela4[[Descrição]:[Tipo Receita/ Gasto]],2,FALSE))</f>
        <v/>
      </c>
      <c r="F923" s="122"/>
      <c r="G923" s="113" t="str">
        <f>IF(Tabela3[[#This Row],[Valor]]="","",G922+F923)</f>
        <v/>
      </c>
      <c r="H923" s="121"/>
      <c r="I923" s="120"/>
    </row>
    <row r="924" spans="1:9" x14ac:dyDescent="0.25">
      <c r="A924" s="4">
        <f>YEAR(Tabela3[[#This Row],[Data]])</f>
        <v>1900</v>
      </c>
      <c r="B924" s="121"/>
      <c r="C924" s="120"/>
      <c r="D924" s="120"/>
      <c r="E924" s="126" t="str">
        <f>IF(Tabela3[[#This Row],[Descrição]]="","",VLOOKUP(Tabela3[[#This Row],[Descrição]],Tabela4[[Descrição]:[Tipo Receita/ Gasto]],2,FALSE))</f>
        <v/>
      </c>
      <c r="F924" s="122"/>
      <c r="G924" s="113" t="str">
        <f>IF(Tabela3[[#This Row],[Valor]]="","",G923+F924)</f>
        <v/>
      </c>
      <c r="H924" s="121"/>
      <c r="I924" s="120"/>
    </row>
    <row r="925" spans="1:9" x14ac:dyDescent="0.25">
      <c r="A925" s="4">
        <f>YEAR(Tabela3[[#This Row],[Data]])</f>
        <v>1900</v>
      </c>
      <c r="B925" s="121"/>
      <c r="C925" s="120"/>
      <c r="D925" s="120"/>
      <c r="E925" s="126" t="str">
        <f>IF(Tabela3[[#This Row],[Descrição]]="","",VLOOKUP(Tabela3[[#This Row],[Descrição]],Tabela4[[Descrição]:[Tipo Receita/ Gasto]],2,FALSE))</f>
        <v/>
      </c>
      <c r="F925" s="122"/>
      <c r="G925" s="113" t="str">
        <f>IF(Tabela3[[#This Row],[Valor]]="","",G924+F925)</f>
        <v/>
      </c>
      <c r="H925" s="121"/>
      <c r="I925" s="120"/>
    </row>
    <row r="926" spans="1:9" x14ac:dyDescent="0.25">
      <c r="A926" s="4">
        <f>YEAR(Tabela3[[#This Row],[Data]])</f>
        <v>1900</v>
      </c>
      <c r="B926" s="121"/>
      <c r="C926" s="120"/>
      <c r="D926" s="120"/>
      <c r="E926" s="126" t="str">
        <f>IF(Tabela3[[#This Row],[Descrição]]="","",VLOOKUP(Tabela3[[#This Row],[Descrição]],Tabela4[[Descrição]:[Tipo Receita/ Gasto]],2,FALSE))</f>
        <v/>
      </c>
      <c r="F926" s="122"/>
      <c r="G926" s="113" t="str">
        <f>IF(Tabela3[[#This Row],[Valor]]="","",G925+F926)</f>
        <v/>
      </c>
      <c r="H926" s="121"/>
      <c r="I926" s="120"/>
    </row>
    <row r="927" spans="1:9" x14ac:dyDescent="0.25">
      <c r="A927" s="4">
        <f>YEAR(Tabela3[[#This Row],[Data]])</f>
        <v>1900</v>
      </c>
      <c r="B927" s="121"/>
      <c r="C927" s="120"/>
      <c r="D927" s="120"/>
      <c r="E927" s="126" t="str">
        <f>IF(Tabela3[[#This Row],[Descrição]]="","",VLOOKUP(Tabela3[[#This Row],[Descrição]],Tabela4[[Descrição]:[Tipo Receita/ Gasto]],2,FALSE))</f>
        <v/>
      </c>
      <c r="F927" s="122"/>
      <c r="G927" s="113" t="str">
        <f>IF(Tabela3[[#This Row],[Valor]]="","",G926+F927)</f>
        <v/>
      </c>
      <c r="H927" s="121"/>
      <c r="I927" s="120"/>
    </row>
    <row r="928" spans="1:9" x14ac:dyDescent="0.25">
      <c r="A928" s="4">
        <f>YEAR(Tabela3[[#This Row],[Data]])</f>
        <v>1900</v>
      </c>
      <c r="B928" s="121"/>
      <c r="C928" s="120"/>
      <c r="D928" s="120"/>
      <c r="E928" s="126" t="str">
        <f>IF(Tabela3[[#This Row],[Descrição]]="","",VLOOKUP(Tabela3[[#This Row],[Descrição]],Tabela4[[Descrição]:[Tipo Receita/ Gasto]],2,FALSE))</f>
        <v/>
      </c>
      <c r="F928" s="122"/>
      <c r="G928" s="113" t="str">
        <f>IF(Tabela3[[#This Row],[Valor]]="","",G927+F928)</f>
        <v/>
      </c>
      <c r="H928" s="121"/>
      <c r="I928" s="120"/>
    </row>
    <row r="929" spans="1:9" x14ac:dyDescent="0.25">
      <c r="A929" s="4">
        <f>YEAR(Tabela3[[#This Row],[Data]])</f>
        <v>1900</v>
      </c>
      <c r="B929" s="121"/>
      <c r="C929" s="120"/>
      <c r="D929" s="120"/>
      <c r="E929" s="126" t="str">
        <f>IF(Tabela3[[#This Row],[Descrição]]="","",VLOOKUP(Tabela3[[#This Row],[Descrição]],Tabela4[[Descrição]:[Tipo Receita/ Gasto]],2,FALSE))</f>
        <v/>
      </c>
      <c r="F929" s="122"/>
      <c r="G929" s="113" t="str">
        <f>IF(Tabela3[[#This Row],[Valor]]="","",G928+F929)</f>
        <v/>
      </c>
      <c r="H929" s="121"/>
      <c r="I929" s="120"/>
    </row>
    <row r="930" spans="1:9" x14ac:dyDescent="0.25">
      <c r="A930" s="4">
        <f>YEAR(Tabela3[[#This Row],[Data]])</f>
        <v>1900</v>
      </c>
      <c r="B930" s="121"/>
      <c r="C930" s="120"/>
      <c r="D930" s="120"/>
      <c r="E930" s="126" t="str">
        <f>IF(Tabela3[[#This Row],[Descrição]]="","",VLOOKUP(Tabela3[[#This Row],[Descrição]],Tabela4[[Descrição]:[Tipo Receita/ Gasto]],2,FALSE))</f>
        <v/>
      </c>
      <c r="F930" s="122"/>
      <c r="G930" s="113" t="str">
        <f>IF(Tabela3[[#This Row],[Valor]]="","",G929+F930)</f>
        <v/>
      </c>
      <c r="H930" s="121"/>
      <c r="I930" s="120"/>
    </row>
    <row r="931" spans="1:9" x14ac:dyDescent="0.25">
      <c r="A931" s="4">
        <f>YEAR(Tabela3[[#This Row],[Data]])</f>
        <v>1900</v>
      </c>
      <c r="B931" s="121"/>
      <c r="C931" s="120"/>
      <c r="D931" s="120"/>
      <c r="E931" s="126" t="str">
        <f>IF(Tabela3[[#This Row],[Descrição]]="","",VLOOKUP(Tabela3[[#This Row],[Descrição]],Tabela4[[Descrição]:[Tipo Receita/ Gasto]],2,FALSE))</f>
        <v/>
      </c>
      <c r="F931" s="122"/>
      <c r="G931" s="113" t="str">
        <f>IF(Tabela3[[#This Row],[Valor]]="","",G930+F931)</f>
        <v/>
      </c>
      <c r="H931" s="121"/>
      <c r="I931" s="120"/>
    </row>
    <row r="932" spans="1:9" x14ac:dyDescent="0.25">
      <c r="A932" s="4">
        <f>YEAR(Tabela3[[#This Row],[Data]])</f>
        <v>1900</v>
      </c>
      <c r="B932" s="121"/>
      <c r="C932" s="120"/>
      <c r="D932" s="120"/>
      <c r="E932" s="126" t="str">
        <f>IF(Tabela3[[#This Row],[Descrição]]="","",VLOOKUP(Tabela3[[#This Row],[Descrição]],Tabela4[[Descrição]:[Tipo Receita/ Gasto]],2,FALSE))</f>
        <v/>
      </c>
      <c r="F932" s="122"/>
      <c r="G932" s="113" t="str">
        <f>IF(Tabela3[[#This Row],[Valor]]="","",G931+F932)</f>
        <v/>
      </c>
      <c r="H932" s="121"/>
      <c r="I932" s="120"/>
    </row>
    <row r="933" spans="1:9" x14ac:dyDescent="0.25">
      <c r="A933" s="4">
        <f>YEAR(Tabela3[[#This Row],[Data]])</f>
        <v>1900</v>
      </c>
      <c r="B933" s="121"/>
      <c r="C933" s="120"/>
      <c r="D933" s="120"/>
      <c r="E933" s="126" t="str">
        <f>IF(Tabela3[[#This Row],[Descrição]]="","",VLOOKUP(Tabela3[[#This Row],[Descrição]],Tabela4[[Descrição]:[Tipo Receita/ Gasto]],2,FALSE))</f>
        <v/>
      </c>
      <c r="F933" s="122"/>
      <c r="G933" s="113" t="str">
        <f>IF(Tabela3[[#This Row],[Valor]]="","",G932+F933)</f>
        <v/>
      </c>
      <c r="H933" s="121"/>
      <c r="I933" s="120"/>
    </row>
    <row r="934" spans="1:9" x14ac:dyDescent="0.25">
      <c r="A934" s="4">
        <f>YEAR(Tabela3[[#This Row],[Data]])</f>
        <v>1900</v>
      </c>
      <c r="B934" s="121"/>
      <c r="C934" s="120"/>
      <c r="D934" s="120"/>
      <c r="E934" s="126" t="str">
        <f>IF(Tabela3[[#This Row],[Descrição]]="","",VLOOKUP(Tabela3[[#This Row],[Descrição]],Tabela4[[Descrição]:[Tipo Receita/ Gasto]],2,FALSE))</f>
        <v/>
      </c>
      <c r="F934" s="122"/>
      <c r="G934" s="113" t="str">
        <f>IF(Tabela3[[#This Row],[Valor]]="","",G933+F934)</f>
        <v/>
      </c>
      <c r="H934" s="121"/>
      <c r="I934" s="120"/>
    </row>
    <row r="935" spans="1:9" x14ac:dyDescent="0.25">
      <c r="A935" s="4">
        <f>YEAR(Tabela3[[#This Row],[Data]])</f>
        <v>1900</v>
      </c>
      <c r="B935" s="121"/>
      <c r="C935" s="120"/>
      <c r="D935" s="120"/>
      <c r="E935" s="126" t="str">
        <f>IF(Tabela3[[#This Row],[Descrição]]="","",VLOOKUP(Tabela3[[#This Row],[Descrição]],Tabela4[[Descrição]:[Tipo Receita/ Gasto]],2,FALSE))</f>
        <v/>
      </c>
      <c r="F935" s="122"/>
      <c r="G935" s="113" t="str">
        <f>IF(Tabela3[[#This Row],[Valor]]="","",G934+F935)</f>
        <v/>
      </c>
      <c r="H935" s="121"/>
      <c r="I935" s="120"/>
    </row>
    <row r="936" spans="1:9" x14ac:dyDescent="0.25">
      <c r="A936" s="4">
        <f>YEAR(Tabela3[[#This Row],[Data]])</f>
        <v>1900</v>
      </c>
      <c r="B936" s="121"/>
      <c r="C936" s="120"/>
      <c r="D936" s="120"/>
      <c r="E936" s="126" t="str">
        <f>IF(Tabela3[[#This Row],[Descrição]]="","",VLOOKUP(Tabela3[[#This Row],[Descrição]],Tabela4[[Descrição]:[Tipo Receita/ Gasto]],2,FALSE))</f>
        <v/>
      </c>
      <c r="F936" s="122"/>
      <c r="G936" s="113" t="str">
        <f>IF(Tabela3[[#This Row],[Valor]]="","",G935+F936)</f>
        <v/>
      </c>
      <c r="H936" s="121"/>
      <c r="I936" s="120"/>
    </row>
    <row r="937" spans="1:9" x14ac:dyDescent="0.25">
      <c r="A937" s="4">
        <f>YEAR(Tabela3[[#This Row],[Data]])</f>
        <v>1900</v>
      </c>
      <c r="B937" s="121"/>
      <c r="C937" s="120"/>
      <c r="D937" s="120"/>
      <c r="E937" s="126" t="str">
        <f>IF(Tabela3[[#This Row],[Descrição]]="","",VLOOKUP(Tabela3[[#This Row],[Descrição]],Tabela4[[Descrição]:[Tipo Receita/ Gasto]],2,FALSE))</f>
        <v/>
      </c>
      <c r="F937" s="122"/>
      <c r="G937" s="113" t="str">
        <f>IF(Tabela3[[#This Row],[Valor]]="","",G936+F937)</f>
        <v/>
      </c>
      <c r="H937" s="121"/>
      <c r="I937" s="120"/>
    </row>
    <row r="938" spans="1:9" x14ac:dyDescent="0.25">
      <c r="A938" s="4">
        <f>YEAR(Tabela3[[#This Row],[Data]])</f>
        <v>1900</v>
      </c>
      <c r="B938" s="121"/>
      <c r="C938" s="120"/>
      <c r="D938" s="120"/>
      <c r="E938" s="126" t="str">
        <f>IF(Tabela3[[#This Row],[Descrição]]="","",VLOOKUP(Tabela3[[#This Row],[Descrição]],Tabela4[[Descrição]:[Tipo Receita/ Gasto]],2,FALSE))</f>
        <v/>
      </c>
      <c r="F938" s="122"/>
      <c r="G938" s="113" t="str">
        <f>IF(Tabela3[[#This Row],[Valor]]="","",G937+F938)</f>
        <v/>
      </c>
      <c r="H938" s="121"/>
      <c r="I938" s="120"/>
    </row>
    <row r="939" spans="1:9" x14ac:dyDescent="0.25">
      <c r="A939" s="4">
        <f>YEAR(Tabela3[[#This Row],[Data]])</f>
        <v>1900</v>
      </c>
      <c r="B939" s="121"/>
      <c r="C939" s="120"/>
      <c r="D939" s="120"/>
      <c r="E939" s="126" t="str">
        <f>IF(Tabela3[[#This Row],[Descrição]]="","",VLOOKUP(Tabela3[[#This Row],[Descrição]],Tabela4[[Descrição]:[Tipo Receita/ Gasto]],2,FALSE))</f>
        <v/>
      </c>
      <c r="F939" s="122"/>
      <c r="G939" s="113" t="str">
        <f>IF(Tabela3[[#This Row],[Valor]]="","",G938+F939)</f>
        <v/>
      </c>
      <c r="H939" s="121"/>
      <c r="I939" s="120"/>
    </row>
    <row r="940" spans="1:9" x14ac:dyDescent="0.25">
      <c r="A940" s="4">
        <f>YEAR(Tabela3[[#This Row],[Data]])</f>
        <v>1900</v>
      </c>
      <c r="B940" s="121"/>
      <c r="C940" s="120"/>
      <c r="D940" s="120"/>
      <c r="E940" s="126" t="str">
        <f>IF(Tabela3[[#This Row],[Descrição]]="","",VLOOKUP(Tabela3[[#This Row],[Descrição]],Tabela4[[Descrição]:[Tipo Receita/ Gasto]],2,FALSE))</f>
        <v/>
      </c>
      <c r="F940" s="122"/>
      <c r="G940" s="113" t="str">
        <f>IF(Tabela3[[#This Row],[Valor]]="","",G939+F940)</f>
        <v/>
      </c>
      <c r="H940" s="121"/>
      <c r="I940" s="120"/>
    </row>
    <row r="941" spans="1:9" x14ac:dyDescent="0.25">
      <c r="A941" s="4">
        <f>YEAR(Tabela3[[#This Row],[Data]])</f>
        <v>1900</v>
      </c>
      <c r="B941" s="121"/>
      <c r="C941" s="120"/>
      <c r="D941" s="120"/>
      <c r="E941" s="126" t="str">
        <f>IF(Tabela3[[#This Row],[Descrição]]="","",VLOOKUP(Tabela3[[#This Row],[Descrição]],Tabela4[[Descrição]:[Tipo Receita/ Gasto]],2,FALSE))</f>
        <v/>
      </c>
      <c r="F941" s="122"/>
      <c r="G941" s="113" t="str">
        <f>IF(Tabela3[[#This Row],[Valor]]="","",G940+F941)</f>
        <v/>
      </c>
      <c r="H941" s="121"/>
      <c r="I941" s="120"/>
    </row>
    <row r="942" spans="1:9" x14ac:dyDescent="0.25">
      <c r="A942" s="4">
        <f>YEAR(Tabela3[[#This Row],[Data]])</f>
        <v>1900</v>
      </c>
      <c r="B942" s="121"/>
      <c r="C942" s="120"/>
      <c r="D942" s="120"/>
      <c r="E942" s="126" t="str">
        <f>IF(Tabela3[[#This Row],[Descrição]]="","",VLOOKUP(Tabela3[[#This Row],[Descrição]],Tabela4[[Descrição]:[Tipo Receita/ Gasto]],2,FALSE))</f>
        <v/>
      </c>
      <c r="F942" s="122"/>
      <c r="G942" s="113" t="str">
        <f>IF(Tabela3[[#This Row],[Valor]]="","",G941+F942)</f>
        <v/>
      </c>
      <c r="H942" s="121"/>
      <c r="I942" s="120"/>
    </row>
    <row r="943" spans="1:9" x14ac:dyDescent="0.25">
      <c r="A943" s="4">
        <f>YEAR(Tabela3[[#This Row],[Data]])</f>
        <v>1900</v>
      </c>
      <c r="B943" s="121"/>
      <c r="C943" s="120"/>
      <c r="D943" s="120"/>
      <c r="E943" s="126" t="str">
        <f>IF(Tabela3[[#This Row],[Descrição]]="","",VLOOKUP(Tabela3[[#This Row],[Descrição]],Tabela4[[Descrição]:[Tipo Receita/ Gasto]],2,FALSE))</f>
        <v/>
      </c>
      <c r="F943" s="122"/>
      <c r="G943" s="113" t="str">
        <f>IF(Tabela3[[#This Row],[Valor]]="","",G942+F943)</f>
        <v/>
      </c>
      <c r="H943" s="121"/>
      <c r="I943" s="120"/>
    </row>
    <row r="944" spans="1:9" x14ac:dyDescent="0.25">
      <c r="A944" s="4">
        <f>YEAR(Tabela3[[#This Row],[Data]])</f>
        <v>1900</v>
      </c>
      <c r="B944" s="121"/>
      <c r="C944" s="120"/>
      <c r="D944" s="120"/>
      <c r="E944" s="126" t="str">
        <f>IF(Tabela3[[#This Row],[Descrição]]="","",VLOOKUP(Tabela3[[#This Row],[Descrição]],Tabela4[[Descrição]:[Tipo Receita/ Gasto]],2,FALSE))</f>
        <v/>
      </c>
      <c r="F944" s="122"/>
      <c r="G944" s="113" t="str">
        <f>IF(Tabela3[[#This Row],[Valor]]="","",G943+F944)</f>
        <v/>
      </c>
      <c r="H944" s="121"/>
      <c r="I944" s="120"/>
    </row>
    <row r="945" spans="1:9" x14ac:dyDescent="0.25">
      <c r="A945" s="4">
        <f>YEAR(Tabela3[[#This Row],[Data]])</f>
        <v>1900</v>
      </c>
      <c r="B945" s="121"/>
      <c r="C945" s="120"/>
      <c r="D945" s="120"/>
      <c r="E945" s="126" t="str">
        <f>IF(Tabela3[[#This Row],[Descrição]]="","",VLOOKUP(Tabela3[[#This Row],[Descrição]],Tabela4[[Descrição]:[Tipo Receita/ Gasto]],2,FALSE))</f>
        <v/>
      </c>
      <c r="F945" s="122"/>
      <c r="G945" s="113" t="str">
        <f>IF(Tabela3[[#This Row],[Valor]]="","",G944+F945)</f>
        <v/>
      </c>
      <c r="H945" s="121"/>
      <c r="I945" s="120"/>
    </row>
    <row r="946" spans="1:9" x14ac:dyDescent="0.25">
      <c r="A946" s="4">
        <f>YEAR(Tabela3[[#This Row],[Data]])</f>
        <v>1900</v>
      </c>
      <c r="B946" s="121"/>
      <c r="C946" s="120"/>
      <c r="D946" s="120"/>
      <c r="E946" s="126" t="str">
        <f>IF(Tabela3[[#This Row],[Descrição]]="","",VLOOKUP(Tabela3[[#This Row],[Descrição]],Tabela4[[Descrição]:[Tipo Receita/ Gasto]],2,FALSE))</f>
        <v/>
      </c>
      <c r="F946" s="122"/>
      <c r="G946" s="113" t="str">
        <f>IF(Tabela3[[#This Row],[Valor]]="","",G945+F946)</f>
        <v/>
      </c>
      <c r="H946" s="121"/>
      <c r="I946" s="120"/>
    </row>
    <row r="947" spans="1:9" x14ac:dyDescent="0.25">
      <c r="A947" s="4">
        <f>YEAR(Tabela3[[#This Row],[Data]])</f>
        <v>1900</v>
      </c>
      <c r="B947" s="121"/>
      <c r="C947" s="120"/>
      <c r="D947" s="120"/>
      <c r="E947" s="126" t="str">
        <f>IF(Tabela3[[#This Row],[Descrição]]="","",VLOOKUP(Tabela3[[#This Row],[Descrição]],Tabela4[[Descrição]:[Tipo Receita/ Gasto]],2,FALSE))</f>
        <v/>
      </c>
      <c r="F947" s="122"/>
      <c r="G947" s="113" t="str">
        <f>IF(Tabela3[[#This Row],[Valor]]="","",G946+F947)</f>
        <v/>
      </c>
      <c r="H947" s="121"/>
      <c r="I947" s="120"/>
    </row>
    <row r="948" spans="1:9" x14ac:dyDescent="0.25">
      <c r="A948" s="4">
        <f>YEAR(Tabela3[[#This Row],[Data]])</f>
        <v>1900</v>
      </c>
      <c r="B948" s="121"/>
      <c r="C948" s="120"/>
      <c r="D948" s="120"/>
      <c r="E948" s="126" t="str">
        <f>IF(Tabela3[[#This Row],[Descrição]]="","",VLOOKUP(Tabela3[[#This Row],[Descrição]],Tabela4[[Descrição]:[Tipo Receita/ Gasto]],2,FALSE))</f>
        <v/>
      </c>
      <c r="F948" s="122"/>
      <c r="G948" s="113" t="str">
        <f>IF(Tabela3[[#This Row],[Valor]]="","",G947+F948)</f>
        <v/>
      </c>
      <c r="H948" s="121"/>
      <c r="I948" s="120"/>
    </row>
    <row r="949" spans="1:9" x14ac:dyDescent="0.25">
      <c r="A949" s="4">
        <f>YEAR(Tabela3[[#This Row],[Data]])</f>
        <v>1900</v>
      </c>
      <c r="B949" s="121"/>
      <c r="C949" s="120"/>
      <c r="D949" s="120"/>
      <c r="E949" s="126" t="str">
        <f>IF(Tabela3[[#This Row],[Descrição]]="","",VLOOKUP(Tabela3[[#This Row],[Descrição]],Tabela4[[Descrição]:[Tipo Receita/ Gasto]],2,FALSE))</f>
        <v/>
      </c>
      <c r="F949" s="122"/>
      <c r="G949" s="113" t="str">
        <f>IF(Tabela3[[#This Row],[Valor]]="","",G948+F949)</f>
        <v/>
      </c>
      <c r="H949" s="121"/>
      <c r="I949" s="120"/>
    </row>
    <row r="950" spans="1:9" x14ac:dyDescent="0.25">
      <c r="A950" s="4">
        <f>YEAR(Tabela3[[#This Row],[Data]])</f>
        <v>1900</v>
      </c>
      <c r="B950" s="121"/>
      <c r="C950" s="120"/>
      <c r="D950" s="120"/>
      <c r="E950" s="126" t="str">
        <f>IF(Tabela3[[#This Row],[Descrição]]="","",VLOOKUP(Tabela3[[#This Row],[Descrição]],Tabela4[[Descrição]:[Tipo Receita/ Gasto]],2,FALSE))</f>
        <v/>
      </c>
      <c r="F950" s="122"/>
      <c r="G950" s="113" t="str">
        <f>IF(Tabela3[[#This Row],[Valor]]="","",G949+F950)</f>
        <v/>
      </c>
      <c r="H950" s="121"/>
      <c r="I950" s="120"/>
    </row>
    <row r="951" spans="1:9" x14ac:dyDescent="0.25">
      <c r="A951" s="4">
        <f>YEAR(Tabela3[[#This Row],[Data]])</f>
        <v>1900</v>
      </c>
      <c r="B951" s="121"/>
      <c r="C951" s="120"/>
      <c r="D951" s="120"/>
      <c r="E951" s="126" t="str">
        <f>IF(Tabela3[[#This Row],[Descrição]]="","",VLOOKUP(Tabela3[[#This Row],[Descrição]],Tabela4[[Descrição]:[Tipo Receita/ Gasto]],2,FALSE))</f>
        <v/>
      </c>
      <c r="F951" s="122"/>
      <c r="G951" s="113" t="str">
        <f>IF(Tabela3[[#This Row],[Valor]]="","",G950+F951)</f>
        <v/>
      </c>
      <c r="H951" s="121"/>
      <c r="I951" s="120"/>
    </row>
    <row r="952" spans="1:9" x14ac:dyDescent="0.25">
      <c r="A952" s="4">
        <f>YEAR(Tabela3[[#This Row],[Data]])</f>
        <v>1900</v>
      </c>
      <c r="B952" s="121"/>
      <c r="C952" s="120"/>
      <c r="D952" s="120"/>
      <c r="E952" s="126" t="str">
        <f>IF(Tabela3[[#This Row],[Descrição]]="","",VLOOKUP(Tabela3[[#This Row],[Descrição]],Tabela4[[Descrição]:[Tipo Receita/ Gasto]],2,FALSE))</f>
        <v/>
      </c>
      <c r="F952" s="122"/>
      <c r="G952" s="113" t="str">
        <f>IF(Tabela3[[#This Row],[Valor]]="","",G951+F952)</f>
        <v/>
      </c>
      <c r="H952" s="121"/>
      <c r="I952" s="120"/>
    </row>
    <row r="953" spans="1:9" x14ac:dyDescent="0.25">
      <c r="A953" s="4">
        <f>YEAR(Tabela3[[#This Row],[Data]])</f>
        <v>1900</v>
      </c>
      <c r="B953" s="121"/>
      <c r="C953" s="120"/>
      <c r="D953" s="120"/>
      <c r="E953" s="126" t="str">
        <f>IF(Tabela3[[#This Row],[Descrição]]="","",VLOOKUP(Tabela3[[#This Row],[Descrição]],Tabela4[[Descrição]:[Tipo Receita/ Gasto]],2,FALSE))</f>
        <v/>
      </c>
      <c r="F953" s="122"/>
      <c r="G953" s="113" t="str">
        <f>IF(Tabela3[[#This Row],[Valor]]="","",G952+F953)</f>
        <v/>
      </c>
      <c r="H953" s="121"/>
      <c r="I953" s="120"/>
    </row>
    <row r="954" spans="1:9" x14ac:dyDescent="0.25">
      <c r="A954" s="4">
        <f>YEAR(Tabela3[[#This Row],[Data]])</f>
        <v>1900</v>
      </c>
      <c r="B954" s="121"/>
      <c r="C954" s="120"/>
      <c r="D954" s="120"/>
      <c r="E954" s="126" t="str">
        <f>IF(Tabela3[[#This Row],[Descrição]]="","",VLOOKUP(Tabela3[[#This Row],[Descrição]],Tabela4[[Descrição]:[Tipo Receita/ Gasto]],2,FALSE))</f>
        <v/>
      </c>
      <c r="F954" s="122"/>
      <c r="G954" s="113" t="str">
        <f>IF(Tabela3[[#This Row],[Valor]]="","",G953+F954)</f>
        <v/>
      </c>
      <c r="H954" s="121"/>
      <c r="I954" s="120"/>
    </row>
    <row r="955" spans="1:9" x14ac:dyDescent="0.25">
      <c r="A955" s="4">
        <f>YEAR(Tabela3[[#This Row],[Data]])</f>
        <v>1900</v>
      </c>
      <c r="B955" s="121"/>
      <c r="C955" s="120"/>
      <c r="D955" s="120"/>
      <c r="E955" s="126" t="str">
        <f>IF(Tabela3[[#This Row],[Descrição]]="","",VLOOKUP(Tabela3[[#This Row],[Descrição]],Tabela4[[Descrição]:[Tipo Receita/ Gasto]],2,FALSE))</f>
        <v/>
      </c>
      <c r="F955" s="122"/>
      <c r="G955" s="113" t="str">
        <f>IF(Tabela3[[#This Row],[Valor]]="","",G954+F955)</f>
        <v/>
      </c>
      <c r="H955" s="121"/>
      <c r="I955" s="120"/>
    </row>
    <row r="956" spans="1:9" x14ac:dyDescent="0.25">
      <c r="A956" s="4">
        <f>YEAR(Tabela3[[#This Row],[Data]])</f>
        <v>1900</v>
      </c>
      <c r="B956" s="121"/>
      <c r="C956" s="120"/>
      <c r="D956" s="120"/>
      <c r="E956" s="126" t="str">
        <f>IF(Tabela3[[#This Row],[Descrição]]="","",VLOOKUP(Tabela3[[#This Row],[Descrição]],Tabela4[[Descrição]:[Tipo Receita/ Gasto]],2,FALSE))</f>
        <v/>
      </c>
      <c r="F956" s="122"/>
      <c r="G956" s="113" t="str">
        <f>IF(Tabela3[[#This Row],[Valor]]="","",G955+F956)</f>
        <v/>
      </c>
      <c r="H956" s="121"/>
      <c r="I956" s="120"/>
    </row>
    <row r="957" spans="1:9" x14ac:dyDescent="0.25">
      <c r="A957" s="4">
        <f>YEAR(Tabela3[[#This Row],[Data]])</f>
        <v>1900</v>
      </c>
      <c r="B957" s="121"/>
      <c r="C957" s="120"/>
      <c r="D957" s="120"/>
      <c r="E957" s="126" t="str">
        <f>IF(Tabela3[[#This Row],[Descrição]]="","",VLOOKUP(Tabela3[[#This Row],[Descrição]],Tabela4[[Descrição]:[Tipo Receita/ Gasto]],2,FALSE))</f>
        <v/>
      </c>
      <c r="F957" s="122"/>
      <c r="G957" s="113" t="str">
        <f>IF(Tabela3[[#This Row],[Valor]]="","",G956+F957)</f>
        <v/>
      </c>
      <c r="H957" s="121"/>
      <c r="I957" s="120"/>
    </row>
    <row r="958" spans="1:9" x14ac:dyDescent="0.25">
      <c r="A958" s="4">
        <f>YEAR(Tabela3[[#This Row],[Data]])</f>
        <v>1900</v>
      </c>
      <c r="B958" s="121"/>
      <c r="C958" s="120"/>
      <c r="D958" s="120"/>
      <c r="E958" s="126" t="str">
        <f>IF(Tabela3[[#This Row],[Descrição]]="","",VLOOKUP(Tabela3[[#This Row],[Descrição]],Tabela4[[Descrição]:[Tipo Receita/ Gasto]],2,FALSE))</f>
        <v/>
      </c>
      <c r="F958" s="122"/>
      <c r="G958" s="113" t="str">
        <f>IF(Tabela3[[#This Row],[Valor]]="","",G957+F958)</f>
        <v/>
      </c>
      <c r="H958" s="121"/>
      <c r="I958" s="120"/>
    </row>
    <row r="959" spans="1:9" x14ac:dyDescent="0.25">
      <c r="A959" s="4">
        <f>YEAR(Tabela3[[#This Row],[Data]])</f>
        <v>1900</v>
      </c>
      <c r="B959" s="121"/>
      <c r="C959" s="120"/>
      <c r="D959" s="120"/>
      <c r="E959" s="126" t="str">
        <f>IF(Tabela3[[#This Row],[Descrição]]="","",VLOOKUP(Tabela3[[#This Row],[Descrição]],Tabela4[[Descrição]:[Tipo Receita/ Gasto]],2,FALSE))</f>
        <v/>
      </c>
      <c r="F959" s="122"/>
      <c r="G959" s="113" t="str">
        <f>IF(Tabela3[[#This Row],[Valor]]="","",G958+F959)</f>
        <v/>
      </c>
      <c r="H959" s="121"/>
      <c r="I959" s="120"/>
    </row>
    <row r="960" spans="1:9" x14ac:dyDescent="0.25">
      <c r="A960" s="4">
        <f>YEAR(Tabela3[[#This Row],[Data]])</f>
        <v>1900</v>
      </c>
      <c r="B960" s="121"/>
      <c r="C960" s="120"/>
      <c r="D960" s="120"/>
      <c r="E960" s="126" t="str">
        <f>IF(Tabela3[[#This Row],[Descrição]]="","",VLOOKUP(Tabela3[[#This Row],[Descrição]],Tabela4[[Descrição]:[Tipo Receita/ Gasto]],2,FALSE))</f>
        <v/>
      </c>
      <c r="F960" s="122"/>
      <c r="G960" s="113" t="str">
        <f>IF(Tabela3[[#This Row],[Valor]]="","",G959+F960)</f>
        <v/>
      </c>
      <c r="H960" s="121"/>
      <c r="I960" s="120"/>
    </row>
    <row r="961" spans="1:9" x14ac:dyDescent="0.25">
      <c r="A961" s="4">
        <f>YEAR(Tabela3[[#This Row],[Data]])</f>
        <v>1900</v>
      </c>
      <c r="B961" s="121"/>
      <c r="C961" s="120"/>
      <c r="D961" s="120"/>
      <c r="E961" s="126" t="str">
        <f>IF(Tabela3[[#This Row],[Descrição]]="","",VLOOKUP(Tabela3[[#This Row],[Descrição]],Tabela4[[Descrição]:[Tipo Receita/ Gasto]],2,FALSE))</f>
        <v/>
      </c>
      <c r="F961" s="122"/>
      <c r="G961" s="113" t="str">
        <f>IF(Tabela3[[#This Row],[Valor]]="","",G960+F961)</f>
        <v/>
      </c>
      <c r="H961" s="121"/>
      <c r="I961" s="120"/>
    </row>
    <row r="962" spans="1:9" x14ac:dyDescent="0.25">
      <c r="A962" s="4">
        <f>YEAR(Tabela3[[#This Row],[Data]])</f>
        <v>1900</v>
      </c>
      <c r="B962" s="121"/>
      <c r="C962" s="120"/>
      <c r="D962" s="120"/>
      <c r="E962" s="126" t="str">
        <f>IF(Tabela3[[#This Row],[Descrição]]="","",VLOOKUP(Tabela3[[#This Row],[Descrição]],Tabela4[[Descrição]:[Tipo Receita/ Gasto]],2,FALSE))</f>
        <v/>
      </c>
      <c r="F962" s="122"/>
      <c r="G962" s="113" t="str">
        <f>IF(Tabela3[[#This Row],[Valor]]="","",G961+F962)</f>
        <v/>
      </c>
      <c r="H962" s="121"/>
      <c r="I962" s="120"/>
    </row>
    <row r="963" spans="1:9" x14ac:dyDescent="0.25">
      <c r="A963" s="4">
        <f>YEAR(Tabela3[[#This Row],[Data]])</f>
        <v>1900</v>
      </c>
      <c r="B963" s="121"/>
      <c r="C963" s="120"/>
      <c r="D963" s="120"/>
      <c r="E963" s="126" t="str">
        <f>IF(Tabela3[[#This Row],[Descrição]]="","",VLOOKUP(Tabela3[[#This Row],[Descrição]],Tabela4[[Descrição]:[Tipo Receita/ Gasto]],2,FALSE))</f>
        <v/>
      </c>
      <c r="F963" s="122"/>
      <c r="G963" s="113" t="str">
        <f>IF(Tabela3[[#This Row],[Valor]]="","",G962+F963)</f>
        <v/>
      </c>
      <c r="H963" s="121"/>
      <c r="I963" s="120"/>
    </row>
    <row r="964" spans="1:9" x14ac:dyDescent="0.25">
      <c r="A964" s="4">
        <f>YEAR(Tabela3[[#This Row],[Data]])</f>
        <v>1900</v>
      </c>
      <c r="B964" s="121"/>
      <c r="C964" s="120"/>
      <c r="D964" s="120"/>
      <c r="E964" s="126" t="str">
        <f>IF(Tabela3[[#This Row],[Descrição]]="","",VLOOKUP(Tabela3[[#This Row],[Descrição]],Tabela4[[Descrição]:[Tipo Receita/ Gasto]],2,FALSE))</f>
        <v/>
      </c>
      <c r="F964" s="122"/>
      <c r="G964" s="113" t="str">
        <f>IF(Tabela3[[#This Row],[Valor]]="","",G963+F964)</f>
        <v/>
      </c>
      <c r="H964" s="121"/>
      <c r="I964" s="120"/>
    </row>
    <row r="965" spans="1:9" x14ac:dyDescent="0.25">
      <c r="A965" s="4">
        <f>YEAR(Tabela3[[#This Row],[Data]])</f>
        <v>1900</v>
      </c>
      <c r="B965" s="121"/>
      <c r="C965" s="120"/>
      <c r="D965" s="120"/>
      <c r="E965" s="126" t="str">
        <f>IF(Tabela3[[#This Row],[Descrição]]="","",VLOOKUP(Tabela3[[#This Row],[Descrição]],Tabela4[[Descrição]:[Tipo Receita/ Gasto]],2,FALSE))</f>
        <v/>
      </c>
      <c r="F965" s="122"/>
      <c r="G965" s="113" t="str">
        <f>IF(Tabela3[[#This Row],[Valor]]="","",G964+F965)</f>
        <v/>
      </c>
      <c r="H965" s="121"/>
      <c r="I965" s="120"/>
    </row>
    <row r="966" spans="1:9" x14ac:dyDescent="0.25">
      <c r="A966" s="4">
        <f>YEAR(Tabela3[[#This Row],[Data]])</f>
        <v>1900</v>
      </c>
      <c r="B966" s="121"/>
      <c r="C966" s="120"/>
      <c r="D966" s="120"/>
      <c r="E966" s="126" t="str">
        <f>IF(Tabela3[[#This Row],[Descrição]]="","",VLOOKUP(Tabela3[[#This Row],[Descrição]],Tabela4[[Descrição]:[Tipo Receita/ Gasto]],2,FALSE))</f>
        <v/>
      </c>
      <c r="F966" s="122"/>
      <c r="G966" s="113" t="str">
        <f>IF(Tabela3[[#This Row],[Valor]]="","",G965+F966)</f>
        <v/>
      </c>
      <c r="H966" s="121"/>
      <c r="I966" s="120"/>
    </row>
    <row r="967" spans="1:9" x14ac:dyDescent="0.25">
      <c r="A967" s="4">
        <f>YEAR(Tabela3[[#This Row],[Data]])</f>
        <v>1900</v>
      </c>
      <c r="B967" s="121"/>
      <c r="C967" s="120"/>
      <c r="D967" s="120"/>
      <c r="E967" s="126" t="str">
        <f>IF(Tabela3[[#This Row],[Descrição]]="","",VLOOKUP(Tabela3[[#This Row],[Descrição]],Tabela4[[Descrição]:[Tipo Receita/ Gasto]],2,FALSE))</f>
        <v/>
      </c>
      <c r="F967" s="122"/>
      <c r="G967" s="113" t="str">
        <f>IF(Tabela3[[#This Row],[Valor]]="","",G966+F967)</f>
        <v/>
      </c>
      <c r="H967" s="121"/>
      <c r="I967" s="120"/>
    </row>
    <row r="968" spans="1:9" x14ac:dyDescent="0.25">
      <c r="A968" s="4">
        <f>YEAR(Tabela3[[#This Row],[Data]])</f>
        <v>1900</v>
      </c>
      <c r="B968" s="121"/>
      <c r="C968" s="120"/>
      <c r="D968" s="120"/>
      <c r="E968" s="126" t="str">
        <f>IF(Tabela3[[#This Row],[Descrição]]="","",VLOOKUP(Tabela3[[#This Row],[Descrição]],Tabela4[[Descrição]:[Tipo Receita/ Gasto]],2,FALSE))</f>
        <v/>
      </c>
      <c r="F968" s="122"/>
      <c r="G968" s="113" t="str">
        <f>IF(Tabela3[[#This Row],[Valor]]="","",G967+F968)</f>
        <v/>
      </c>
      <c r="H968" s="121"/>
      <c r="I968" s="120"/>
    </row>
    <row r="969" spans="1:9" x14ac:dyDescent="0.25">
      <c r="A969" s="4">
        <f>YEAR(Tabela3[[#This Row],[Data]])</f>
        <v>1900</v>
      </c>
      <c r="B969" s="121"/>
      <c r="C969" s="120"/>
      <c r="D969" s="120"/>
      <c r="E969" s="126" t="str">
        <f>IF(Tabela3[[#This Row],[Descrição]]="","",VLOOKUP(Tabela3[[#This Row],[Descrição]],Tabela4[[Descrição]:[Tipo Receita/ Gasto]],2,FALSE))</f>
        <v/>
      </c>
      <c r="F969" s="122"/>
      <c r="G969" s="113" t="str">
        <f>IF(Tabela3[[#This Row],[Valor]]="","",G968+F969)</f>
        <v/>
      </c>
      <c r="H969" s="121"/>
      <c r="I969" s="120"/>
    </row>
    <row r="970" spans="1:9" x14ac:dyDescent="0.25">
      <c r="A970" s="4">
        <f>YEAR(Tabela3[[#This Row],[Data]])</f>
        <v>1900</v>
      </c>
      <c r="B970" s="121"/>
      <c r="C970" s="120"/>
      <c r="D970" s="120"/>
      <c r="E970" s="126" t="str">
        <f>IF(Tabela3[[#This Row],[Descrição]]="","",VLOOKUP(Tabela3[[#This Row],[Descrição]],Tabela4[[Descrição]:[Tipo Receita/ Gasto]],2,FALSE))</f>
        <v/>
      </c>
      <c r="F970" s="122"/>
      <c r="G970" s="113" t="str">
        <f>IF(Tabela3[[#This Row],[Valor]]="","",G969+F970)</f>
        <v/>
      </c>
      <c r="H970" s="121"/>
      <c r="I970" s="120"/>
    </row>
    <row r="971" spans="1:9" x14ac:dyDescent="0.25">
      <c r="A971" s="4">
        <f>YEAR(Tabela3[[#This Row],[Data]])</f>
        <v>1900</v>
      </c>
      <c r="B971" s="121"/>
      <c r="C971" s="120"/>
      <c r="D971" s="120"/>
      <c r="E971" s="126" t="str">
        <f>IF(Tabela3[[#This Row],[Descrição]]="","",VLOOKUP(Tabela3[[#This Row],[Descrição]],Tabela4[[Descrição]:[Tipo Receita/ Gasto]],2,FALSE))</f>
        <v/>
      </c>
      <c r="F971" s="122"/>
      <c r="G971" s="113" t="str">
        <f>IF(Tabela3[[#This Row],[Valor]]="","",G970+F971)</f>
        <v/>
      </c>
      <c r="H971" s="121"/>
      <c r="I971" s="120"/>
    </row>
    <row r="972" spans="1:9" x14ac:dyDescent="0.25">
      <c r="A972" s="4">
        <f>YEAR(Tabela3[[#This Row],[Data]])</f>
        <v>1900</v>
      </c>
      <c r="B972" s="121"/>
      <c r="C972" s="120"/>
      <c r="D972" s="120"/>
      <c r="E972" s="126" t="str">
        <f>IF(Tabela3[[#This Row],[Descrição]]="","",VLOOKUP(Tabela3[[#This Row],[Descrição]],Tabela4[[Descrição]:[Tipo Receita/ Gasto]],2,FALSE))</f>
        <v/>
      </c>
      <c r="F972" s="122"/>
      <c r="G972" s="113" t="str">
        <f>IF(Tabela3[[#This Row],[Valor]]="","",G971+F972)</f>
        <v/>
      </c>
      <c r="H972" s="121"/>
      <c r="I972" s="120"/>
    </row>
    <row r="973" spans="1:9" x14ac:dyDescent="0.25">
      <c r="A973" s="4">
        <f>YEAR(Tabela3[[#This Row],[Data]])</f>
        <v>1900</v>
      </c>
      <c r="B973" s="121"/>
      <c r="C973" s="120"/>
      <c r="D973" s="120"/>
      <c r="E973" s="126" t="str">
        <f>IF(Tabela3[[#This Row],[Descrição]]="","",VLOOKUP(Tabela3[[#This Row],[Descrição]],Tabela4[[Descrição]:[Tipo Receita/ Gasto]],2,FALSE))</f>
        <v/>
      </c>
      <c r="F973" s="122"/>
      <c r="G973" s="113" t="str">
        <f>IF(Tabela3[[#This Row],[Valor]]="","",G972+F973)</f>
        <v/>
      </c>
      <c r="H973" s="121"/>
      <c r="I973" s="120"/>
    </row>
    <row r="974" spans="1:9" x14ac:dyDescent="0.25">
      <c r="A974" s="4">
        <f>YEAR(Tabela3[[#This Row],[Data]])</f>
        <v>1900</v>
      </c>
      <c r="B974" s="121"/>
      <c r="C974" s="120"/>
      <c r="D974" s="120"/>
      <c r="E974" s="126" t="str">
        <f>IF(Tabela3[[#This Row],[Descrição]]="","",VLOOKUP(Tabela3[[#This Row],[Descrição]],Tabela4[[Descrição]:[Tipo Receita/ Gasto]],2,FALSE))</f>
        <v/>
      </c>
      <c r="F974" s="122"/>
      <c r="G974" s="113" t="str">
        <f>IF(Tabela3[[#This Row],[Valor]]="","",G973+F974)</f>
        <v/>
      </c>
      <c r="H974" s="121"/>
      <c r="I974" s="120"/>
    </row>
    <row r="975" spans="1:9" x14ac:dyDescent="0.25">
      <c r="A975" s="4">
        <f>YEAR(Tabela3[[#This Row],[Data]])</f>
        <v>1900</v>
      </c>
      <c r="B975" s="121"/>
      <c r="C975" s="120"/>
      <c r="D975" s="120"/>
      <c r="E975" s="126" t="str">
        <f>IF(Tabela3[[#This Row],[Descrição]]="","",VLOOKUP(Tabela3[[#This Row],[Descrição]],Tabela4[[Descrição]:[Tipo Receita/ Gasto]],2,FALSE))</f>
        <v/>
      </c>
      <c r="F975" s="122"/>
      <c r="G975" s="113" t="str">
        <f>IF(Tabela3[[#This Row],[Valor]]="","",G974+F975)</f>
        <v/>
      </c>
      <c r="H975" s="121"/>
      <c r="I975" s="120"/>
    </row>
    <row r="976" spans="1:9" x14ac:dyDescent="0.25">
      <c r="A976" s="4">
        <f>YEAR(Tabela3[[#This Row],[Data]])</f>
        <v>1900</v>
      </c>
      <c r="B976" s="121"/>
      <c r="C976" s="120"/>
      <c r="D976" s="120"/>
      <c r="E976" s="126" t="str">
        <f>IF(Tabela3[[#This Row],[Descrição]]="","",VLOOKUP(Tabela3[[#This Row],[Descrição]],Tabela4[[Descrição]:[Tipo Receita/ Gasto]],2,FALSE))</f>
        <v/>
      </c>
      <c r="F976" s="122"/>
      <c r="G976" s="113" t="str">
        <f>IF(Tabela3[[#This Row],[Valor]]="","",G975+F976)</f>
        <v/>
      </c>
      <c r="H976" s="121"/>
      <c r="I976" s="120"/>
    </row>
    <row r="977" spans="1:9" x14ac:dyDescent="0.25">
      <c r="A977" s="4">
        <f>YEAR(Tabela3[[#This Row],[Data]])</f>
        <v>1900</v>
      </c>
      <c r="B977" s="121"/>
      <c r="C977" s="120"/>
      <c r="D977" s="120"/>
      <c r="E977" s="126" t="str">
        <f>IF(Tabela3[[#This Row],[Descrição]]="","",VLOOKUP(Tabela3[[#This Row],[Descrição]],Tabela4[[Descrição]:[Tipo Receita/ Gasto]],2,FALSE))</f>
        <v/>
      </c>
      <c r="F977" s="122"/>
      <c r="G977" s="113" t="str">
        <f>IF(Tabela3[[#This Row],[Valor]]="","",G976+F977)</f>
        <v/>
      </c>
      <c r="H977" s="121"/>
      <c r="I977" s="120"/>
    </row>
    <row r="978" spans="1:9" x14ac:dyDescent="0.25">
      <c r="A978" s="4">
        <f>YEAR(Tabela3[[#This Row],[Data]])</f>
        <v>1900</v>
      </c>
      <c r="B978" s="121"/>
      <c r="C978" s="120"/>
      <c r="D978" s="120"/>
      <c r="E978" s="126" t="str">
        <f>IF(Tabela3[[#This Row],[Descrição]]="","",VLOOKUP(Tabela3[[#This Row],[Descrição]],Tabela4[[Descrição]:[Tipo Receita/ Gasto]],2,FALSE))</f>
        <v/>
      </c>
      <c r="F978" s="122"/>
      <c r="G978" s="113" t="str">
        <f>IF(Tabela3[[#This Row],[Valor]]="","",G977+F978)</f>
        <v/>
      </c>
      <c r="H978" s="121"/>
      <c r="I978" s="120"/>
    </row>
    <row r="979" spans="1:9" x14ac:dyDescent="0.25">
      <c r="A979" s="4">
        <f>YEAR(Tabela3[[#This Row],[Data]])</f>
        <v>1900</v>
      </c>
      <c r="B979" s="121"/>
      <c r="C979" s="120"/>
      <c r="D979" s="120"/>
      <c r="E979" s="126" t="str">
        <f>IF(Tabela3[[#This Row],[Descrição]]="","",VLOOKUP(Tabela3[[#This Row],[Descrição]],Tabela4[[Descrição]:[Tipo Receita/ Gasto]],2,FALSE))</f>
        <v/>
      </c>
      <c r="F979" s="122"/>
      <c r="G979" s="113" t="str">
        <f>IF(Tabela3[[#This Row],[Valor]]="","",G978+F979)</f>
        <v/>
      </c>
      <c r="H979" s="121"/>
      <c r="I979" s="120"/>
    </row>
    <row r="980" spans="1:9" x14ac:dyDescent="0.25">
      <c r="A980" s="4">
        <f>YEAR(Tabela3[[#This Row],[Data]])</f>
        <v>1900</v>
      </c>
      <c r="B980" s="121"/>
      <c r="C980" s="120"/>
      <c r="D980" s="120"/>
      <c r="E980" s="126" t="str">
        <f>IF(Tabela3[[#This Row],[Descrição]]="","",VLOOKUP(Tabela3[[#This Row],[Descrição]],Tabela4[[Descrição]:[Tipo Receita/ Gasto]],2,FALSE))</f>
        <v/>
      </c>
      <c r="F980" s="122"/>
      <c r="G980" s="113" t="str">
        <f>IF(Tabela3[[#This Row],[Valor]]="","",G979+F980)</f>
        <v/>
      </c>
      <c r="H980" s="121"/>
      <c r="I980" s="120"/>
    </row>
    <row r="981" spans="1:9" x14ac:dyDescent="0.25">
      <c r="A981" s="4">
        <f>YEAR(Tabela3[[#This Row],[Data]])</f>
        <v>1900</v>
      </c>
      <c r="B981" s="121"/>
      <c r="C981" s="120"/>
      <c r="D981" s="120"/>
      <c r="E981" s="126" t="str">
        <f>IF(Tabela3[[#This Row],[Descrição]]="","",VLOOKUP(Tabela3[[#This Row],[Descrição]],Tabela4[[Descrição]:[Tipo Receita/ Gasto]],2,FALSE))</f>
        <v/>
      </c>
      <c r="F981" s="122"/>
      <c r="G981" s="113" t="str">
        <f>IF(Tabela3[[#This Row],[Valor]]="","",G980+F981)</f>
        <v/>
      </c>
      <c r="H981" s="121"/>
      <c r="I981" s="120"/>
    </row>
    <row r="982" spans="1:9" x14ac:dyDescent="0.25">
      <c r="A982" s="4">
        <f>YEAR(Tabela3[[#This Row],[Data]])</f>
        <v>1900</v>
      </c>
      <c r="B982" s="121"/>
      <c r="C982" s="120"/>
      <c r="D982" s="120"/>
      <c r="E982" s="126" t="str">
        <f>IF(Tabela3[[#This Row],[Descrição]]="","",VLOOKUP(Tabela3[[#This Row],[Descrição]],Tabela4[[Descrição]:[Tipo Receita/ Gasto]],2,FALSE))</f>
        <v/>
      </c>
      <c r="F982" s="122"/>
      <c r="G982" s="113" t="str">
        <f>IF(Tabela3[[#This Row],[Valor]]="","",G981+F982)</f>
        <v/>
      </c>
      <c r="H982" s="121"/>
      <c r="I982" s="120"/>
    </row>
    <row r="983" spans="1:9" x14ac:dyDescent="0.25">
      <c r="A983" s="4">
        <f>YEAR(Tabela3[[#This Row],[Data]])</f>
        <v>1900</v>
      </c>
      <c r="B983" s="121"/>
      <c r="C983" s="120"/>
      <c r="D983" s="120"/>
      <c r="E983" s="126" t="str">
        <f>IF(Tabela3[[#This Row],[Descrição]]="","",VLOOKUP(Tabela3[[#This Row],[Descrição]],Tabela4[[Descrição]:[Tipo Receita/ Gasto]],2,FALSE))</f>
        <v/>
      </c>
      <c r="F983" s="122"/>
      <c r="G983" s="113" t="str">
        <f>IF(Tabela3[[#This Row],[Valor]]="","",G982+F983)</f>
        <v/>
      </c>
      <c r="H983" s="121"/>
      <c r="I983" s="120"/>
    </row>
    <row r="984" spans="1:9" x14ac:dyDescent="0.25">
      <c r="A984" s="4">
        <f>YEAR(Tabela3[[#This Row],[Data]])</f>
        <v>1900</v>
      </c>
      <c r="B984" s="121"/>
      <c r="C984" s="120"/>
      <c r="D984" s="120"/>
      <c r="E984" s="126" t="str">
        <f>IF(Tabela3[[#This Row],[Descrição]]="","",VLOOKUP(Tabela3[[#This Row],[Descrição]],Tabela4[[Descrição]:[Tipo Receita/ Gasto]],2,FALSE))</f>
        <v/>
      </c>
      <c r="F984" s="122"/>
      <c r="G984" s="113" t="str">
        <f>IF(Tabela3[[#This Row],[Valor]]="","",G983+F984)</f>
        <v/>
      </c>
      <c r="H984" s="121"/>
      <c r="I984" s="120"/>
    </row>
    <row r="985" spans="1:9" x14ac:dyDescent="0.25">
      <c r="A985" s="4">
        <f>YEAR(Tabela3[[#This Row],[Data]])</f>
        <v>1900</v>
      </c>
      <c r="B985" s="121"/>
      <c r="C985" s="120"/>
      <c r="D985" s="120"/>
      <c r="E985" s="126" t="str">
        <f>IF(Tabela3[[#This Row],[Descrição]]="","",VLOOKUP(Tabela3[[#This Row],[Descrição]],Tabela4[[Descrição]:[Tipo Receita/ Gasto]],2,FALSE))</f>
        <v/>
      </c>
      <c r="F985" s="122"/>
      <c r="G985" s="113" t="str">
        <f>IF(Tabela3[[#This Row],[Valor]]="","",G984+F985)</f>
        <v/>
      </c>
      <c r="H985" s="121"/>
      <c r="I985" s="120"/>
    </row>
    <row r="986" spans="1:9" x14ac:dyDescent="0.25">
      <c r="A986" s="4">
        <f>YEAR(Tabela3[[#This Row],[Data]])</f>
        <v>1900</v>
      </c>
      <c r="B986" s="121"/>
      <c r="C986" s="120"/>
      <c r="D986" s="120"/>
      <c r="E986" s="126" t="str">
        <f>IF(Tabela3[[#This Row],[Descrição]]="","",VLOOKUP(Tabela3[[#This Row],[Descrição]],Tabela4[[Descrição]:[Tipo Receita/ Gasto]],2,FALSE))</f>
        <v/>
      </c>
      <c r="F986" s="122"/>
      <c r="G986" s="113" t="str">
        <f>IF(Tabela3[[#This Row],[Valor]]="","",G985+F986)</f>
        <v/>
      </c>
      <c r="H986" s="121"/>
      <c r="I986" s="120"/>
    </row>
    <row r="987" spans="1:9" x14ac:dyDescent="0.25">
      <c r="A987" s="4">
        <f>YEAR(Tabela3[[#This Row],[Data]])</f>
        <v>1900</v>
      </c>
      <c r="B987" s="121"/>
      <c r="C987" s="120"/>
      <c r="D987" s="120"/>
      <c r="E987" s="126" t="str">
        <f>IF(Tabela3[[#This Row],[Descrição]]="","",VLOOKUP(Tabela3[[#This Row],[Descrição]],Tabela4[[Descrição]:[Tipo Receita/ Gasto]],2,FALSE))</f>
        <v/>
      </c>
      <c r="F987" s="122"/>
      <c r="G987" s="113" t="str">
        <f>IF(Tabela3[[#This Row],[Valor]]="","",G986+F987)</f>
        <v/>
      </c>
      <c r="H987" s="121"/>
      <c r="I987" s="120"/>
    </row>
    <row r="988" spans="1:9" x14ac:dyDescent="0.25">
      <c r="A988" s="4">
        <f>YEAR(Tabela3[[#This Row],[Data]])</f>
        <v>1900</v>
      </c>
      <c r="B988" s="121"/>
      <c r="C988" s="120"/>
      <c r="D988" s="120"/>
      <c r="E988" s="126" t="str">
        <f>IF(Tabela3[[#This Row],[Descrição]]="","",VLOOKUP(Tabela3[[#This Row],[Descrição]],Tabela4[[Descrição]:[Tipo Receita/ Gasto]],2,FALSE))</f>
        <v/>
      </c>
      <c r="F988" s="122"/>
      <c r="G988" s="113" t="str">
        <f>IF(Tabela3[[#This Row],[Valor]]="","",G987+F988)</f>
        <v/>
      </c>
      <c r="H988" s="121"/>
      <c r="I988" s="120"/>
    </row>
    <row r="989" spans="1:9" x14ac:dyDescent="0.25">
      <c r="A989" s="4">
        <f>YEAR(Tabela3[[#This Row],[Data]])</f>
        <v>1900</v>
      </c>
      <c r="B989" s="121"/>
      <c r="C989" s="120"/>
      <c r="D989" s="120"/>
      <c r="E989" s="126" t="str">
        <f>IF(Tabela3[[#This Row],[Descrição]]="","",VLOOKUP(Tabela3[[#This Row],[Descrição]],Tabela4[[Descrição]:[Tipo Receita/ Gasto]],2,FALSE))</f>
        <v/>
      </c>
      <c r="F989" s="122"/>
      <c r="G989" s="113" t="str">
        <f>IF(Tabela3[[#This Row],[Valor]]="","",G988+F989)</f>
        <v/>
      </c>
      <c r="H989" s="121"/>
      <c r="I989" s="120"/>
    </row>
    <row r="990" spans="1:9" x14ac:dyDescent="0.25">
      <c r="A990" s="4">
        <f>YEAR(Tabela3[[#This Row],[Data]])</f>
        <v>1900</v>
      </c>
      <c r="B990" s="121"/>
      <c r="C990" s="120"/>
      <c r="D990" s="120"/>
      <c r="E990" s="126" t="str">
        <f>IF(Tabela3[[#This Row],[Descrição]]="","",VLOOKUP(Tabela3[[#This Row],[Descrição]],Tabela4[[Descrição]:[Tipo Receita/ Gasto]],2,FALSE))</f>
        <v/>
      </c>
      <c r="F990" s="122"/>
      <c r="G990" s="113" t="str">
        <f>IF(Tabela3[[#This Row],[Valor]]="","",G989+F990)</f>
        <v/>
      </c>
      <c r="H990" s="121"/>
      <c r="I990" s="120"/>
    </row>
    <row r="991" spans="1:9" x14ac:dyDescent="0.25">
      <c r="A991" s="4">
        <f>YEAR(Tabela3[[#This Row],[Data]])</f>
        <v>1900</v>
      </c>
      <c r="B991" s="121"/>
      <c r="C991" s="120"/>
      <c r="D991" s="120"/>
      <c r="E991" s="126" t="str">
        <f>IF(Tabela3[[#This Row],[Descrição]]="","",VLOOKUP(Tabela3[[#This Row],[Descrição]],Tabela4[[Descrição]:[Tipo Receita/ Gasto]],2,FALSE))</f>
        <v/>
      </c>
      <c r="F991" s="122"/>
      <c r="G991" s="113" t="str">
        <f>IF(Tabela3[[#This Row],[Valor]]="","",G990+F991)</f>
        <v/>
      </c>
      <c r="H991" s="121"/>
      <c r="I991" s="120"/>
    </row>
    <row r="992" spans="1:9" x14ac:dyDescent="0.25">
      <c r="A992" s="4">
        <f>YEAR(Tabela3[[#This Row],[Data]])</f>
        <v>1900</v>
      </c>
      <c r="B992" s="121"/>
      <c r="C992" s="120"/>
      <c r="D992" s="120"/>
      <c r="E992" s="126" t="str">
        <f>IF(Tabela3[[#This Row],[Descrição]]="","",VLOOKUP(Tabela3[[#This Row],[Descrição]],Tabela4[[Descrição]:[Tipo Receita/ Gasto]],2,FALSE))</f>
        <v/>
      </c>
      <c r="F992" s="122"/>
      <c r="G992" s="113" t="str">
        <f>IF(Tabela3[[#This Row],[Valor]]="","",G991+F992)</f>
        <v/>
      </c>
      <c r="H992" s="121"/>
      <c r="I992" s="120"/>
    </row>
    <row r="993" spans="1:9" x14ac:dyDescent="0.25">
      <c r="A993" s="4">
        <f>YEAR(Tabela3[[#This Row],[Data]])</f>
        <v>1900</v>
      </c>
      <c r="B993" s="121"/>
      <c r="C993" s="120"/>
      <c r="D993" s="120"/>
      <c r="E993" s="126" t="str">
        <f>IF(Tabela3[[#This Row],[Descrição]]="","",VLOOKUP(Tabela3[[#This Row],[Descrição]],Tabela4[[Descrição]:[Tipo Receita/ Gasto]],2,FALSE))</f>
        <v/>
      </c>
      <c r="F993" s="122"/>
      <c r="G993" s="113" t="str">
        <f>IF(Tabela3[[#This Row],[Valor]]="","",G992+F993)</f>
        <v/>
      </c>
      <c r="H993" s="121"/>
      <c r="I993" s="120"/>
    </row>
    <row r="994" spans="1:9" x14ac:dyDescent="0.25">
      <c r="A994" s="4">
        <f>YEAR(Tabela3[[#This Row],[Data]])</f>
        <v>1900</v>
      </c>
      <c r="B994" s="121"/>
      <c r="C994" s="120"/>
      <c r="D994" s="120"/>
      <c r="E994" s="126" t="str">
        <f>IF(Tabela3[[#This Row],[Descrição]]="","",VLOOKUP(Tabela3[[#This Row],[Descrição]],Tabela4[[Descrição]:[Tipo Receita/ Gasto]],2,FALSE))</f>
        <v/>
      </c>
      <c r="F994" s="122"/>
      <c r="G994" s="113" t="str">
        <f>IF(Tabela3[[#This Row],[Valor]]="","",G993+F994)</f>
        <v/>
      </c>
      <c r="H994" s="121"/>
      <c r="I994" s="120"/>
    </row>
    <row r="995" spans="1:9" x14ac:dyDescent="0.25">
      <c r="A995" s="4">
        <f>YEAR(Tabela3[[#This Row],[Data]])</f>
        <v>1900</v>
      </c>
      <c r="B995" s="121"/>
      <c r="C995" s="120"/>
      <c r="D995" s="120"/>
      <c r="E995" s="126" t="str">
        <f>IF(Tabela3[[#This Row],[Descrição]]="","",VLOOKUP(Tabela3[[#This Row],[Descrição]],Tabela4[[Descrição]:[Tipo Receita/ Gasto]],2,FALSE))</f>
        <v/>
      </c>
      <c r="F995" s="122"/>
      <c r="G995" s="113" t="str">
        <f>IF(Tabela3[[#This Row],[Valor]]="","",G994+F995)</f>
        <v/>
      </c>
      <c r="H995" s="121"/>
      <c r="I995" s="120"/>
    </row>
    <row r="996" spans="1:9" x14ac:dyDescent="0.25">
      <c r="A996" s="4">
        <f>YEAR(Tabela3[[#This Row],[Data]])</f>
        <v>1900</v>
      </c>
      <c r="B996" s="121"/>
      <c r="C996" s="120"/>
      <c r="D996" s="120"/>
      <c r="E996" s="126" t="str">
        <f>IF(Tabela3[[#This Row],[Descrição]]="","",VLOOKUP(Tabela3[[#This Row],[Descrição]],Tabela4[[Descrição]:[Tipo Receita/ Gasto]],2,FALSE))</f>
        <v/>
      </c>
      <c r="F996" s="122"/>
      <c r="G996" s="113" t="str">
        <f>IF(Tabela3[[#This Row],[Valor]]="","",G995+F996)</f>
        <v/>
      </c>
      <c r="H996" s="121"/>
      <c r="I996" s="120"/>
    </row>
    <row r="997" spans="1:9" x14ac:dyDescent="0.25">
      <c r="A997" s="4">
        <f>YEAR(Tabela3[[#This Row],[Data]])</f>
        <v>1900</v>
      </c>
      <c r="B997" s="121"/>
      <c r="C997" s="120"/>
      <c r="D997" s="120"/>
      <c r="E997" s="126" t="str">
        <f>IF(Tabela3[[#This Row],[Descrição]]="","",VLOOKUP(Tabela3[[#This Row],[Descrição]],Tabela4[[Descrição]:[Tipo Receita/ Gasto]],2,FALSE))</f>
        <v/>
      </c>
      <c r="F997" s="122"/>
      <c r="G997" s="113" t="str">
        <f>IF(Tabela3[[#This Row],[Valor]]="","",G996+F997)</f>
        <v/>
      </c>
      <c r="H997" s="121"/>
      <c r="I997" s="120"/>
    </row>
    <row r="998" spans="1:9" x14ac:dyDescent="0.25">
      <c r="A998" s="4">
        <f>YEAR(Tabela3[[#This Row],[Data]])</f>
        <v>1900</v>
      </c>
      <c r="B998" s="121"/>
      <c r="C998" s="120"/>
      <c r="D998" s="120"/>
      <c r="E998" s="126" t="str">
        <f>IF(Tabela3[[#This Row],[Descrição]]="","",VLOOKUP(Tabela3[[#This Row],[Descrição]],Tabela4[[Descrição]:[Tipo Receita/ Gasto]],2,FALSE))</f>
        <v/>
      </c>
      <c r="F998" s="122"/>
      <c r="G998" s="113" t="str">
        <f>IF(Tabela3[[#This Row],[Valor]]="","",G997+F998)</f>
        <v/>
      </c>
      <c r="H998" s="121"/>
      <c r="I998" s="120"/>
    </row>
    <row r="999" spans="1:9" x14ac:dyDescent="0.25">
      <c r="A999" s="4">
        <f>YEAR(Tabela3[[#This Row],[Data]])</f>
        <v>1900</v>
      </c>
      <c r="B999" s="121"/>
      <c r="C999" s="120"/>
      <c r="D999" s="120"/>
      <c r="E999" s="126" t="str">
        <f>IF(Tabela3[[#This Row],[Descrição]]="","",VLOOKUP(Tabela3[[#This Row],[Descrição]],Tabela4[[Descrição]:[Tipo Receita/ Gasto]],2,FALSE))</f>
        <v/>
      </c>
      <c r="F999" s="122"/>
      <c r="G999" s="113" t="str">
        <f>IF(Tabela3[[#This Row],[Valor]]="","",G998+F999)</f>
        <v/>
      </c>
      <c r="H999" s="121"/>
      <c r="I999" s="120"/>
    </row>
    <row r="1000" spans="1:9" x14ac:dyDescent="0.25">
      <c r="A1000" s="4">
        <f>YEAR(Tabela3[[#This Row],[Data]])</f>
        <v>1900</v>
      </c>
      <c r="B1000" s="121"/>
      <c r="C1000" s="120"/>
      <c r="D1000" s="120"/>
      <c r="E1000" s="126" t="str">
        <f>IF(Tabela3[[#This Row],[Descrição]]="","",VLOOKUP(Tabela3[[#This Row],[Descrição]],Tabela4[[Descrição]:[Tipo Receita/ Gasto]],2,FALSE))</f>
        <v/>
      </c>
      <c r="F1000" s="122"/>
      <c r="G1000" s="113" t="str">
        <f>IF(Tabela3[[#This Row],[Valor]]="","",G999+F1000)</f>
        <v/>
      </c>
      <c r="H1000" s="121"/>
      <c r="I1000" s="120"/>
    </row>
  </sheetData>
  <sheetProtection password="A081" sheet="1" objects="1" scenarios="1" selectLockedCells="1" sort="0" autoFilter="0" pivotTables="0"/>
  <protectedRanges>
    <protectedRange password="CC3D" sqref="E8:E1000" name="Intervalo1"/>
  </protectedRanges>
  <mergeCells count="4">
    <mergeCell ref="K73:N73"/>
    <mergeCell ref="K4:N4"/>
    <mergeCell ref="K6:N6"/>
    <mergeCell ref="K22:N22"/>
  </mergeCells>
  <dataValidations count="5">
    <dataValidation allowBlank="1" showInputMessage="1" showErrorMessage="1" promptTitle="Informação" prompt="Se alterar o ano, dará o valor total dede receitas e gastos referente a esse ano." sqref="H4"/>
    <dataValidation type="list" errorStyle="warning" allowBlank="1" showInputMessage="1" showErrorMessage="1" errorTitle="Inserir Dados na Tabela" error="A descrição que está a utilizar, não está inserida na Tabela de Descrições. P.f. insira primeiro esta nova descrição, para que os totais dos  relatórios fiquem correctos." sqref="C8:C1000">
      <formula1>$K$24:$K$70</formula1>
    </dataValidation>
    <dataValidation type="list" errorStyle="warning" allowBlank="1" showInputMessage="1" showErrorMessage="1" errorTitle="Tipo de Receita/Gasto" error="Está a tentar inserir um dado que não existe na tabela de Tipo de Receita/Gasto, queira p.f. inserir primeiro para não afectar os totais dos relatórios" sqref="L24:L70">
      <formula1>$K$8:$K$19</formula1>
    </dataValidation>
    <dataValidation type="list" errorStyle="warning" allowBlank="1" showInputMessage="1" showErrorMessage="1" errorTitle="Tipo de Receita/Gasto" error="Está a tentar inserir um dado que não existe na tabela de Tipo de Receita/Gasto, queira p.f. inserir primeiro para não afectar os totais dos relatórios._x000a__x000a_Se desejar alterar coloque a password: 1234, mas apagará as fórmulas. " sqref="E8:E1000">
      <formula1>$K$8:$K$19</formula1>
    </dataValidation>
    <dataValidation type="list" errorStyle="warning" allowBlank="1" showInputMessage="1" showErrorMessage="1" errorTitle="Período" error="Está a inserir uma informação de periodo que não existe na respectiva tabela. Queira p.f. inserir primeiro." sqref="D8:D1000">
      <formula1>$K$75:$K$107</formula1>
    </dataValidation>
  </dataValidations>
  <hyperlinks>
    <hyperlink ref="N2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1" fitToHeight="100" orientation="landscape" r:id="rId2"/>
  <drawing r:id="rId3"/>
  <legacyDrawing r:id="rId4"/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6</vt:i4>
      </vt:variant>
    </vt:vector>
  </HeadingPairs>
  <TitlesOfParts>
    <vt:vector size="12" baseType="lpstr">
      <vt:lpstr>Índice</vt:lpstr>
      <vt:lpstr>Dados a Colocar</vt:lpstr>
      <vt:lpstr>Recibo</vt:lpstr>
      <vt:lpstr>Conta-Corrente</vt:lpstr>
      <vt:lpstr>Declaração para IRS</vt:lpstr>
      <vt:lpstr>Contabilização</vt:lpstr>
      <vt:lpstr>Contabilização!Área_de_Impressão</vt:lpstr>
      <vt:lpstr>'Conta-Corrente'!Área_de_Impressão</vt:lpstr>
      <vt:lpstr>'Declaração para IRS'!Área_de_Impressão</vt:lpstr>
      <vt:lpstr>Recibo!Área_de_Impressão</vt:lpstr>
      <vt:lpstr>Contabilização!Títulos_de_Impressão</vt:lpstr>
      <vt:lpstr>'Conta-Corrente'!Títulos_de_Impressão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Proiete</dc:creator>
  <cp:lastModifiedBy>Carlos Marques</cp:lastModifiedBy>
  <cp:lastPrinted>2011-01-28T12:52:12Z</cp:lastPrinted>
  <dcterms:created xsi:type="dcterms:W3CDTF">2010-01-10T12:16:53Z</dcterms:created>
  <dcterms:modified xsi:type="dcterms:W3CDTF">2012-12-05T20:45:36Z</dcterms:modified>
</cp:coreProperties>
</file>