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0115" windowHeight="7935"/>
  </bookViews>
  <sheets>
    <sheet name="Main" sheetId="1" r:id="rId1"/>
    <sheet name="Opções" sheetId="5" state="hidden" r:id="rId2"/>
    <sheet name="Sheet1" sheetId="9" state="hidden" r:id="rId3"/>
  </sheets>
  <definedNames>
    <definedName name="_xlnm._FilterDatabase" localSheetId="2" hidden="1">Sheet1!$A$1:$C$1</definedName>
  </definedNames>
  <calcPr calcId="125725" iterateCount="1"/>
</workbook>
</file>

<file path=xl/calcChain.xml><?xml version="1.0" encoding="utf-8"?>
<calcChain xmlns="http://schemas.openxmlformats.org/spreadsheetml/2006/main">
  <c r="R6" i="1"/>
  <c r="R3"/>
  <c r="R5" s="1"/>
  <c r="R4"/>
  <c r="C15" i="9"/>
  <c r="C23"/>
  <c r="C28"/>
  <c r="C36"/>
  <c r="C38"/>
  <c r="C46"/>
  <c r="C53"/>
  <c r="C55"/>
  <c r="C57"/>
  <c r="C58"/>
  <c r="C66"/>
  <c r="C69"/>
  <c r="C60"/>
  <c r="C45"/>
  <c r="C62"/>
  <c r="C4"/>
  <c r="C11"/>
  <c r="C16"/>
  <c r="C26"/>
  <c r="C52"/>
  <c r="C68"/>
  <c r="C9"/>
  <c r="C12"/>
  <c r="C14"/>
  <c r="C27"/>
  <c r="C29"/>
  <c r="C32"/>
  <c r="C40"/>
  <c r="C41"/>
  <c r="C43"/>
  <c r="C50"/>
  <c r="C51"/>
  <c r="C63"/>
  <c r="C64"/>
  <c r="C67"/>
  <c r="C73"/>
  <c r="C17"/>
  <c r="C18"/>
  <c r="C21"/>
  <c r="C22"/>
  <c r="C24"/>
  <c r="C25"/>
  <c r="C44"/>
  <c r="C47"/>
  <c r="C49"/>
  <c r="C71"/>
  <c r="C20"/>
  <c r="C19"/>
  <c r="C10"/>
  <c r="C5"/>
  <c r="C6"/>
  <c r="C7"/>
  <c r="C30"/>
  <c r="C31"/>
  <c r="C33"/>
  <c r="C35"/>
  <c r="C37"/>
  <c r="C34"/>
  <c r="C39"/>
  <c r="C42"/>
  <c r="C48"/>
  <c r="C54"/>
  <c r="C56"/>
  <c r="C59"/>
  <c r="C61"/>
  <c r="C65"/>
  <c r="C72"/>
  <c r="C74"/>
  <c r="C13"/>
  <c r="C3"/>
  <c r="C70"/>
  <c r="C8"/>
  <c r="H16" i="1"/>
  <c r="L13"/>
  <c r="O14" s="1"/>
  <c r="O13"/>
  <c r="F8"/>
  <c r="F7"/>
  <c r="F6"/>
  <c r="F5"/>
  <c r="H21"/>
  <c r="O15" l="1"/>
  <c r="L14"/>
  <c r="L15" s="1"/>
  <c r="L16" l="1"/>
  <c r="L17" s="1"/>
  <c r="L22" s="1"/>
  <c r="O25"/>
  <c r="L25"/>
  <c r="O16"/>
  <c r="O17" s="1"/>
  <c r="O22" s="1"/>
  <c r="J5"/>
  <c r="O18" l="1"/>
  <c r="L18"/>
  <c r="O19"/>
  <c r="L19"/>
  <c r="J6"/>
  <c r="O20" l="1"/>
  <c r="J7"/>
  <c r="J8" s="1"/>
  <c r="L20"/>
  <c r="L21" s="1"/>
  <c r="L23" s="1"/>
  <c r="O21" l="1"/>
  <c r="O23" s="1"/>
  <c r="L24"/>
  <c r="O24" l="1"/>
  <c r="O26" s="1"/>
  <c r="C17" s="1"/>
  <c r="L26"/>
  <c r="C18" s="1"/>
  <c r="C19" l="1"/>
</calcChain>
</file>

<file path=xl/sharedStrings.xml><?xml version="1.0" encoding="utf-8"?>
<sst xmlns="http://schemas.openxmlformats.org/spreadsheetml/2006/main" count="136" uniqueCount="133">
  <si>
    <t>De</t>
  </si>
  <si>
    <t>Até</t>
  </si>
  <si>
    <t>Taxa</t>
  </si>
  <si>
    <t>Abate</t>
  </si>
  <si>
    <t>Infinito</t>
  </si>
  <si>
    <t>Simulador desenvolvido por Marco Araújo</t>
  </si>
  <si>
    <t>Estado</t>
  </si>
  <si>
    <t>Solteiro</t>
  </si>
  <si>
    <t>Solteiros: inserir vencimento ilíquido (bruto) anual</t>
  </si>
  <si>
    <t>Casados: inserir a soma dos vencimentos ilíquidos (brutos) do agregado familiar</t>
  </si>
  <si>
    <t>Filhos</t>
  </si>
  <si>
    <t>Ascendentes</t>
  </si>
  <si>
    <t>Sem limite</t>
  </si>
  <si>
    <t>Escalões</t>
  </si>
  <si>
    <t>Diferencial de rendimento líquido (2015 - 2014)</t>
  </si>
  <si>
    <t>Dedução*</t>
  </si>
  <si>
    <t>*O valor aumenta 10% por cada filho</t>
  </si>
  <si>
    <t>1 - Rendimento global</t>
  </si>
  <si>
    <t>2 - Deduções específicas</t>
  </si>
  <si>
    <t>3 - Rendimento coletável (1 - 2)</t>
  </si>
  <si>
    <t>Vencimento ilíquido (bruto) anual (incluir bónus)</t>
  </si>
  <si>
    <t xml:space="preserve">das despesas com eletricidade, água, gás, telecomunicações, </t>
  </si>
  <si>
    <t xml:space="preserve">vestuários e artigos de supermercados são reembolsadas, </t>
  </si>
  <si>
    <t xml:space="preserve">recebendo no máximo 300€ um solteiro ou 600€ um casal) </t>
  </si>
  <si>
    <t xml:space="preserve">Assume-se que em 2015 as "despesas gerais familiares" (40% 
</t>
  </si>
  <si>
    <t>Casado</t>
  </si>
  <si>
    <t>Estado civil</t>
  </si>
  <si>
    <t>4 - Coeficiente familiar</t>
  </si>
  <si>
    <t>6 - Importância apurada (4 x 5)</t>
  </si>
  <si>
    <t>7 - Parcela a abater</t>
  </si>
  <si>
    <t>8 - Valor apurado (6 - 7)</t>
  </si>
  <si>
    <t>Despesas de saúde</t>
  </si>
  <si>
    <t>Encargos com lares</t>
  </si>
  <si>
    <t>Juros relativos a crédito habitação</t>
  </si>
  <si>
    <t>Rendas pagas</t>
  </si>
  <si>
    <t>Despesas de formação e educação</t>
  </si>
  <si>
    <t>Pensões de alimentos</t>
  </si>
  <si>
    <t>9 - Coleta total</t>
  </si>
  <si>
    <t>10 - Deduções à coleta</t>
  </si>
  <si>
    <t xml:space="preserve">11 - Benefício Municipal </t>
  </si>
  <si>
    <t>5 - Taxa de IRS</t>
  </si>
  <si>
    <t>12 - Coleta líquida (9 - 10 - 11)</t>
  </si>
  <si>
    <t>13 - Sobretaxa</t>
  </si>
  <si>
    <t xml:space="preserve">Alcoutim </t>
  </si>
  <si>
    <t xml:space="preserve">Boticas </t>
  </si>
  <si>
    <t xml:space="preserve">Crato </t>
  </si>
  <si>
    <t xml:space="preserve">Gavião </t>
  </si>
  <si>
    <t xml:space="preserve">Manteigas </t>
  </si>
  <si>
    <t xml:space="preserve">Mealhada </t>
  </si>
  <si>
    <t xml:space="preserve">Oleiros </t>
  </si>
  <si>
    <t xml:space="preserve">Ponte de Lima </t>
  </si>
  <si>
    <t xml:space="preserve">Resende </t>
  </si>
  <si>
    <t xml:space="preserve">Sabrosa </t>
  </si>
  <si>
    <t xml:space="preserve">Sabugal </t>
  </si>
  <si>
    <t xml:space="preserve">Vieira do Minho </t>
  </si>
  <si>
    <t xml:space="preserve">Vila Franca do Campo </t>
  </si>
  <si>
    <t xml:space="preserve">Santa Cruz da Graciosa </t>
  </si>
  <si>
    <t xml:space="preserve">Óbidos </t>
  </si>
  <si>
    <t xml:space="preserve">Sousel </t>
  </si>
  <si>
    <t xml:space="preserve">Águeda </t>
  </si>
  <si>
    <t xml:space="preserve">Armamar </t>
  </si>
  <si>
    <t xml:space="preserve">Caldas da rainha </t>
  </si>
  <si>
    <t xml:space="preserve">Figueira de Castelo Rodrigo </t>
  </si>
  <si>
    <t xml:space="preserve">Penedono </t>
  </si>
  <si>
    <t xml:space="preserve">Vila Flor </t>
  </si>
  <si>
    <t xml:space="preserve">Alter do Chão </t>
  </si>
  <si>
    <t xml:space="preserve">Arronches </t>
  </si>
  <si>
    <t xml:space="preserve">Belmonte </t>
  </si>
  <si>
    <t xml:space="preserve">Fronteira </t>
  </si>
  <si>
    <t xml:space="preserve">Góis </t>
  </si>
  <si>
    <t xml:space="preserve">Lisboa </t>
  </si>
  <si>
    <t xml:space="preserve">Mogadouro </t>
  </si>
  <si>
    <t xml:space="preserve">Monchique </t>
  </si>
  <si>
    <t xml:space="preserve">Mortágua </t>
  </si>
  <si>
    <t xml:space="preserve">Penalva do Castelo </t>
  </si>
  <si>
    <t xml:space="preserve">Penamacor </t>
  </si>
  <si>
    <t xml:space="preserve">Terras de Bouro </t>
  </si>
  <si>
    <t xml:space="preserve">Trancoso </t>
  </si>
  <si>
    <t xml:space="preserve">Vila de Rei </t>
  </si>
  <si>
    <t xml:space="preserve">Vinhais </t>
  </si>
  <si>
    <t xml:space="preserve">Caminha </t>
  </si>
  <si>
    <t xml:space="preserve">Carrazeda de Ansiães </t>
  </si>
  <si>
    <t xml:space="preserve">Cinfães </t>
  </si>
  <si>
    <t xml:space="preserve">Coruche </t>
  </si>
  <si>
    <t xml:space="preserve">Elvas </t>
  </si>
  <si>
    <t xml:space="preserve">Fafe </t>
  </si>
  <si>
    <t xml:space="preserve">Nisa </t>
  </si>
  <si>
    <t xml:space="preserve">Ovar </t>
  </si>
  <si>
    <t xml:space="preserve">Paredes de Coura </t>
  </si>
  <si>
    <t xml:space="preserve">Vila Nova de Cerveira </t>
  </si>
  <si>
    <t xml:space="preserve">Castelo de Vide </t>
  </si>
  <si>
    <t xml:space="preserve">Cascais </t>
  </si>
  <si>
    <t xml:space="preserve">Amadora </t>
  </si>
  <si>
    <t xml:space="preserve">Alcácer do Sal </t>
  </si>
  <si>
    <t xml:space="preserve">Alcobaça </t>
  </si>
  <si>
    <t xml:space="preserve">Gondomar </t>
  </si>
  <si>
    <t xml:space="preserve">Grândola </t>
  </si>
  <si>
    <t xml:space="preserve">Lousada </t>
  </si>
  <si>
    <t xml:space="preserve">Mangualde </t>
  </si>
  <si>
    <t xml:space="preserve">Matosinhos </t>
  </si>
  <si>
    <t xml:space="preserve">Mação </t>
  </si>
  <si>
    <t xml:space="preserve">Miranda do Corvo </t>
  </si>
  <si>
    <t xml:space="preserve">Montijo </t>
  </si>
  <si>
    <t xml:space="preserve">Paredes </t>
  </si>
  <si>
    <t xml:space="preserve">Póvoa de Varzim </t>
  </si>
  <si>
    <t xml:space="preserve">S. João da Pesqueira </t>
  </si>
  <si>
    <t xml:space="preserve">Salvaterra de Magos </t>
  </si>
  <si>
    <t xml:space="preserve">Sintra </t>
  </si>
  <si>
    <t xml:space="preserve">Vale de Cambra </t>
  </si>
  <si>
    <t xml:space="preserve">Vila Viçosa </t>
  </si>
  <si>
    <t xml:space="preserve">Viseu </t>
  </si>
  <si>
    <t xml:space="preserve">Aveiro </t>
  </si>
  <si>
    <t xml:space="preserve">Abrantes </t>
  </si>
  <si>
    <t xml:space="preserve">Vila Nova da Barquinha </t>
  </si>
  <si>
    <t>Albergaria-a-Velha</t>
  </si>
  <si>
    <t>Municipio</t>
  </si>
  <si>
    <t>Valor</t>
  </si>
  <si>
    <t>Percentagem</t>
  </si>
  <si>
    <t xml:space="preserve">Outro </t>
  </si>
  <si>
    <t>Isenção de taxas moderadoras</t>
  </si>
  <si>
    <t>Número de filhos com até 3 anos (inclusive)</t>
  </si>
  <si>
    <t>Número de filhos com idade igual ou superior a 4 anos</t>
  </si>
  <si>
    <t>Abono de familia (mensalidade)</t>
  </si>
  <si>
    <t>Benefícios sociais</t>
  </si>
  <si>
    <t>Desconto de 25% nos transportes</t>
  </si>
  <si>
    <t>Números de ascendentes (mãe, pai, avós) que vivam</t>
  </si>
  <si>
    <t>com o titular, usufruindo de 259,36€/mês de reforma</t>
  </si>
  <si>
    <t>Desconto de 34% na eletricidade</t>
  </si>
  <si>
    <t>Total de pessoas com despesas de formação educação</t>
  </si>
  <si>
    <t>Vencimento líquido 2015 (incluindo abono de familia)</t>
  </si>
  <si>
    <t>Vencimento líquido 2014 (incluindo abono de familia)</t>
  </si>
  <si>
    <t xml:space="preserve">14 - Imposto apurado (12 + 13)         </t>
  </si>
  <si>
    <t>Anuidade dos seguros de saúde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</si>
</sst>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%"/>
    <numFmt numFmtId="165" formatCode="_-* #,##0.00\ [$€-816]_-;\-* #,##0.00\ [$€-816]_-;_-* &quot;-&quot;??\ [$€-816]_-;_-@_-"/>
    <numFmt numFmtId="166" formatCode="#,##0_ ;\-#,##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1"/>
      <color indexed="8"/>
      <name val="Book Antiqua"/>
      <family val="1"/>
    </font>
    <font>
      <i/>
      <sz val="11"/>
      <color indexed="62"/>
      <name val="Book Antiqua"/>
      <family val="1"/>
    </font>
    <font>
      <i/>
      <sz val="11"/>
      <name val="Book Antiqua"/>
      <family val="1"/>
    </font>
    <font>
      <sz val="11"/>
      <color rgb="FFFF0000"/>
      <name val="Book Antiqua"/>
      <family val="1"/>
    </font>
    <font>
      <b/>
      <i/>
      <sz val="12"/>
      <color theme="1"/>
      <name val="Book Antiqua"/>
      <family val="1"/>
    </font>
    <font>
      <i/>
      <sz val="11"/>
      <color rgb="FF0000FF"/>
      <name val="Book Antiqua"/>
      <family val="1"/>
    </font>
    <font>
      <i/>
      <sz val="11"/>
      <color theme="1"/>
      <name val="Book Antiqua"/>
      <family val="1"/>
    </font>
    <font>
      <sz val="11"/>
      <color rgb="FF333333"/>
      <name val="Inherit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mediumGray">
        <bgColor theme="9" tint="0.79995117038483843"/>
      </patternFill>
    </fill>
    <fill>
      <patternFill patternType="solid">
        <fgColor rgb="FFE2DECB"/>
        <bgColor auto="1"/>
      </patternFill>
    </fill>
    <fill>
      <patternFill patternType="solid">
        <fgColor rgb="FFE2DECB"/>
        <bgColor indexed="9"/>
      </patternFill>
    </fill>
    <fill>
      <patternFill patternType="solid">
        <fgColor rgb="FFBFBFBF"/>
        <bgColor indexed="64"/>
      </patternFill>
    </fill>
    <fill>
      <patternFill patternType="solid">
        <fgColor rgb="FFFF643F"/>
        <bgColor indexed="64"/>
      </patternFill>
    </fill>
    <fill>
      <patternFill patternType="solid">
        <fgColor rgb="FFFFEF9C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09">
    <xf numFmtId="0" fontId="0" fillId="0" borderId="0" xfId="0"/>
    <xf numFmtId="164" fontId="0" fillId="0" borderId="0" xfId="0" applyNumberFormat="1"/>
    <xf numFmtId="44" fontId="0" fillId="0" borderId="0" xfId="1" applyFont="1"/>
    <xf numFmtId="44" fontId="0" fillId="0" borderId="0" xfId="0" applyNumberFormat="1"/>
    <xf numFmtId="44" fontId="0" fillId="0" borderId="4" xfId="1" applyFont="1" applyBorder="1"/>
    <xf numFmtId="44" fontId="0" fillId="0" borderId="5" xfId="1" applyFont="1" applyBorder="1"/>
    <xf numFmtId="44" fontId="0" fillId="0" borderId="6" xfId="1" applyFont="1" applyBorder="1"/>
    <xf numFmtId="44" fontId="0" fillId="0" borderId="10" xfId="1" applyFont="1" applyBorder="1"/>
    <xf numFmtId="164" fontId="0" fillId="0" borderId="10" xfId="0" applyNumberFormat="1" applyBorder="1"/>
    <xf numFmtId="44" fontId="0" fillId="0" borderId="11" xfId="1" applyFont="1" applyBorder="1" applyAlignment="1">
      <alignment horizontal="right"/>
    </xf>
    <xf numFmtId="164" fontId="0" fillId="0" borderId="11" xfId="0" applyNumberFormat="1" applyBorder="1"/>
    <xf numFmtId="0" fontId="0" fillId="0" borderId="12" xfId="0" applyBorder="1"/>
    <xf numFmtId="0" fontId="2" fillId="0" borderId="0" xfId="0" applyFont="1"/>
    <xf numFmtId="0" fontId="3" fillId="0" borderId="0" xfId="0" applyFont="1"/>
    <xf numFmtId="44" fontId="0" fillId="3" borderId="13" xfId="1" applyFont="1" applyFill="1" applyBorder="1" applyAlignment="1">
      <alignment horizontal="right" vertical="center"/>
    </xf>
    <xf numFmtId="44" fontId="0" fillId="0" borderId="4" xfId="1" applyFont="1" applyBorder="1" applyAlignment="1">
      <alignment vertical="center"/>
    </xf>
    <xf numFmtId="44" fontId="0" fillId="0" borderId="10" xfId="1" applyFon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44" fontId="0" fillId="0" borderId="5" xfId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/>
    <xf numFmtId="0" fontId="0" fillId="0" borderId="16" xfId="0" applyFill="1" applyBorder="1"/>
    <xf numFmtId="0" fontId="0" fillId="0" borderId="19" xfId="0" applyBorder="1"/>
    <xf numFmtId="44" fontId="0" fillId="4" borderId="17" xfId="0" applyNumberFormat="1" applyFill="1" applyBorder="1"/>
    <xf numFmtId="0" fontId="3" fillId="0" borderId="0" xfId="0" applyFont="1" applyAlignment="1">
      <alignment vertical="center"/>
    </xf>
    <xf numFmtId="44" fontId="0" fillId="0" borderId="25" xfId="1" applyFont="1" applyBorder="1" applyAlignment="1">
      <alignment vertical="center"/>
    </xf>
    <xf numFmtId="165" fontId="0" fillId="0" borderId="0" xfId="0" applyNumberFormat="1"/>
    <xf numFmtId="44" fontId="0" fillId="0" borderId="11" xfId="1" applyFont="1" applyBorder="1"/>
    <xf numFmtId="0" fontId="5" fillId="6" borderId="26" xfId="0" applyFont="1" applyFill="1" applyBorder="1" applyAlignment="1">
      <alignment vertical="center"/>
    </xf>
    <xf numFmtId="0" fontId="5" fillId="6" borderId="27" xfId="0" applyFont="1" applyFill="1" applyBorder="1" applyAlignment="1">
      <alignment vertical="center" wrapText="1"/>
    </xf>
    <xf numFmtId="0" fontId="5" fillId="6" borderId="28" xfId="0" applyFont="1" applyFill="1" applyBorder="1" applyAlignment="1">
      <alignment vertical="center" wrapText="1"/>
    </xf>
    <xf numFmtId="0" fontId="6" fillId="5" borderId="24" xfId="0" applyFont="1" applyFill="1" applyBorder="1" applyAlignment="1">
      <alignment horizontal="center"/>
    </xf>
    <xf numFmtId="0" fontId="5" fillId="7" borderId="29" xfId="0" applyFont="1" applyFill="1" applyBorder="1" applyAlignment="1">
      <alignment vertical="center"/>
    </xf>
    <xf numFmtId="0" fontId="5" fillId="7" borderId="30" xfId="0" applyFont="1" applyFill="1" applyBorder="1" applyAlignment="1">
      <alignment vertical="center" wrapText="1"/>
    </xf>
    <xf numFmtId="0" fontId="5" fillId="7" borderId="31" xfId="0" applyFont="1" applyFill="1" applyBorder="1" applyAlignment="1">
      <alignment vertical="center" wrapText="1"/>
    </xf>
    <xf numFmtId="0" fontId="5" fillId="6" borderId="29" xfId="0" applyFont="1" applyFill="1" applyBorder="1" applyAlignment="1">
      <alignment vertical="center"/>
    </xf>
    <xf numFmtId="0" fontId="5" fillId="6" borderId="30" xfId="0" applyFont="1" applyFill="1" applyBorder="1" applyAlignment="1">
      <alignment vertical="center" wrapText="1"/>
    </xf>
    <xf numFmtId="0" fontId="5" fillId="6" borderId="31" xfId="0" applyFont="1" applyFill="1" applyBorder="1" applyAlignment="1">
      <alignment vertical="center" wrapText="1"/>
    </xf>
    <xf numFmtId="0" fontId="5" fillId="6" borderId="29" xfId="0" applyFont="1" applyFill="1" applyBorder="1" applyAlignment="1">
      <alignment horizontal="left" vertical="center"/>
    </xf>
    <xf numFmtId="0" fontId="7" fillId="6" borderId="30" xfId="0" applyFont="1" applyFill="1" applyBorder="1" applyAlignment="1">
      <alignment horizontal="left" vertical="center" wrapText="1"/>
    </xf>
    <xf numFmtId="0" fontId="7" fillId="6" borderId="31" xfId="0" applyFont="1" applyFill="1" applyBorder="1" applyAlignment="1">
      <alignment horizontal="left" vertical="center" wrapText="1"/>
    </xf>
    <xf numFmtId="0" fontId="5" fillId="6" borderId="30" xfId="0" applyFont="1" applyFill="1" applyBorder="1" applyAlignment="1">
      <alignment horizontal="left" vertical="center"/>
    </xf>
    <xf numFmtId="0" fontId="5" fillId="6" borderId="31" xfId="0" applyFont="1" applyFill="1" applyBorder="1" applyAlignment="1">
      <alignment horizontal="left" vertical="center"/>
    </xf>
    <xf numFmtId="0" fontId="7" fillId="6" borderId="29" xfId="0" applyFont="1" applyFill="1" applyBorder="1" applyAlignment="1">
      <alignment horizontal="left" vertical="center"/>
    </xf>
    <xf numFmtId="0" fontId="7" fillId="6" borderId="30" xfId="0" applyFont="1" applyFill="1" applyBorder="1" applyAlignment="1">
      <alignment horizontal="left" vertical="center"/>
    </xf>
    <xf numFmtId="0" fontId="7" fillId="6" borderId="31" xfId="0" applyFont="1" applyFill="1" applyBorder="1" applyAlignment="1">
      <alignment horizontal="left" vertical="center"/>
    </xf>
    <xf numFmtId="10" fontId="8" fillId="5" borderId="24" xfId="0" applyNumberFormat="1" applyFont="1" applyFill="1" applyBorder="1" applyAlignment="1">
      <alignment horizontal="center" textRotation="90"/>
    </xf>
    <xf numFmtId="0" fontId="5" fillId="6" borderId="32" xfId="0" applyFont="1" applyFill="1" applyBorder="1" applyAlignment="1">
      <alignment horizontal="left" vertical="center"/>
    </xf>
    <xf numFmtId="0" fontId="5" fillId="6" borderId="33" xfId="0" applyFont="1" applyFill="1" applyBorder="1" applyAlignment="1">
      <alignment horizontal="left" vertical="center"/>
    </xf>
    <xf numFmtId="0" fontId="5" fillId="6" borderId="34" xfId="0" applyFont="1" applyFill="1" applyBorder="1" applyAlignment="1">
      <alignment horizontal="left" vertical="center"/>
    </xf>
    <xf numFmtId="44" fontId="3" fillId="0" borderId="0" xfId="1" applyFont="1"/>
    <xf numFmtId="1" fontId="10" fillId="6" borderId="30" xfId="0" applyNumberFormat="1" applyFont="1" applyFill="1" applyBorder="1" applyAlignment="1">
      <alignment horizontal="left" vertical="center"/>
    </xf>
    <xf numFmtId="1" fontId="10" fillId="6" borderId="31" xfId="0" applyNumberFormat="1" applyFont="1" applyFill="1" applyBorder="1" applyAlignment="1">
      <alignment horizontal="left" vertical="center"/>
    </xf>
    <xf numFmtId="0" fontId="0" fillId="0" borderId="19" xfId="0" applyFill="1" applyBorder="1"/>
    <xf numFmtId="0" fontId="0" fillId="0" borderId="30" xfId="0" applyBorder="1"/>
    <xf numFmtId="44" fontId="0" fillId="3" borderId="21" xfId="1" applyFont="1" applyFill="1" applyBorder="1" applyAlignment="1">
      <alignment horizontal="right" vertical="center"/>
    </xf>
    <xf numFmtId="0" fontId="12" fillId="0" borderId="0" xfId="0" applyFont="1" applyAlignment="1">
      <alignment horizontal="left" wrapText="1" indent="1"/>
    </xf>
    <xf numFmtId="0" fontId="0" fillId="0" borderId="49" xfId="0" applyBorder="1"/>
    <xf numFmtId="0" fontId="0" fillId="0" borderId="7" xfId="0" applyFill="1" applyBorder="1" applyAlignment="1">
      <alignment horizontal="left"/>
    </xf>
    <xf numFmtId="0" fontId="0" fillId="0" borderId="18" xfId="0" applyBorder="1"/>
    <xf numFmtId="0" fontId="0" fillId="0" borderId="52" xfId="0" applyBorder="1"/>
    <xf numFmtId="0" fontId="0" fillId="0" borderId="48" xfId="0" applyFill="1" applyBorder="1" applyAlignment="1">
      <alignment horizontal="left"/>
    </xf>
    <xf numFmtId="0" fontId="0" fillId="0" borderId="43" xfId="0" applyBorder="1"/>
    <xf numFmtId="0" fontId="0" fillId="0" borderId="48" xfId="0" applyBorder="1"/>
    <xf numFmtId="0" fontId="0" fillId="0" borderId="21" xfId="0" applyBorder="1" applyAlignment="1">
      <alignment horizontal="center"/>
    </xf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12" xfId="0" applyFill="1" applyBorder="1"/>
    <xf numFmtId="44" fontId="0" fillId="0" borderId="14" xfId="1" applyFont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2" borderId="22" xfId="0" applyFill="1" applyBorder="1" applyAlignment="1" applyProtection="1">
      <alignment horizontal="right" vertical="center"/>
      <protection locked="0"/>
    </xf>
    <xf numFmtId="0" fontId="0" fillId="2" borderId="21" xfId="0" applyFill="1" applyBorder="1" applyAlignment="1" applyProtection="1">
      <alignment horizontal="right" vertical="center"/>
      <protection locked="0"/>
    </xf>
    <xf numFmtId="0" fontId="0" fillId="2" borderId="13" xfId="0" applyFill="1" applyBorder="1" applyAlignment="1" applyProtection="1">
      <alignment horizontal="right" vertical="center"/>
      <protection locked="0"/>
    </xf>
    <xf numFmtId="44" fontId="1" fillId="2" borderId="13" xfId="1" applyFont="1" applyFill="1" applyBorder="1" applyAlignment="1" applyProtection="1">
      <alignment horizontal="right" vertical="center"/>
      <protection locked="0"/>
    </xf>
    <xf numFmtId="44" fontId="0" fillId="9" borderId="21" xfId="1" applyFont="1" applyFill="1" applyBorder="1" applyProtection="1">
      <protection locked="0"/>
    </xf>
    <xf numFmtId="166" fontId="0" fillId="9" borderId="21" xfId="1" applyNumberFormat="1" applyFont="1" applyFill="1" applyBorder="1" applyProtection="1">
      <protection locked="0"/>
    </xf>
    <xf numFmtId="165" fontId="5" fillId="6" borderId="40" xfId="0" applyNumberFormat="1" applyFont="1" applyFill="1" applyBorder="1" applyAlignment="1">
      <alignment horizontal="center" vertical="center" wrapText="1"/>
    </xf>
    <xf numFmtId="165" fontId="5" fillId="6" borderId="41" xfId="0" applyNumberFormat="1" applyFont="1" applyFill="1" applyBorder="1" applyAlignment="1">
      <alignment horizontal="center" vertical="center" wrapText="1"/>
    </xf>
    <xf numFmtId="165" fontId="5" fillId="6" borderId="51" xfId="0" applyNumberFormat="1" applyFont="1" applyFill="1" applyBorder="1" applyAlignment="1">
      <alignment horizontal="center" vertical="center" wrapText="1"/>
    </xf>
    <xf numFmtId="165" fontId="5" fillId="6" borderId="38" xfId="0" applyNumberFormat="1" applyFont="1" applyFill="1" applyBorder="1" applyAlignment="1">
      <alignment horizontal="center" vertical="center" wrapText="1"/>
    </xf>
    <xf numFmtId="165" fontId="5" fillId="6" borderId="20" xfId="0" applyNumberFormat="1" applyFont="1" applyFill="1" applyBorder="1" applyAlignment="1">
      <alignment horizontal="center" vertical="center" wrapText="1"/>
    </xf>
    <xf numFmtId="165" fontId="5" fillId="6" borderId="44" xfId="0" applyNumberFormat="1" applyFont="1" applyFill="1" applyBorder="1" applyAlignment="1">
      <alignment horizontal="center" vertical="center" wrapText="1"/>
    </xf>
    <xf numFmtId="165" fontId="5" fillId="6" borderId="42" xfId="0" applyNumberFormat="1" applyFont="1" applyFill="1" applyBorder="1" applyAlignment="1">
      <alignment horizontal="center" vertical="center" wrapText="1"/>
    </xf>
    <xf numFmtId="165" fontId="5" fillId="6" borderId="36" xfId="0" applyNumberFormat="1" applyFont="1" applyFill="1" applyBorder="1" applyAlignment="1">
      <alignment horizontal="right" vertical="center" wrapText="1"/>
    </xf>
    <xf numFmtId="165" fontId="5" fillId="6" borderId="37" xfId="0" applyNumberFormat="1" applyFont="1" applyFill="1" applyBorder="1" applyAlignment="1">
      <alignment horizontal="right" vertical="center" wrapText="1"/>
    </xf>
    <xf numFmtId="165" fontId="5" fillId="6" borderId="20" xfId="0" applyNumberFormat="1" applyFont="1" applyFill="1" applyBorder="1" applyAlignment="1">
      <alignment horizontal="right" vertical="center" wrapText="1"/>
    </xf>
    <xf numFmtId="165" fontId="5" fillId="6" borderId="39" xfId="0" applyNumberFormat="1" applyFont="1" applyFill="1" applyBorder="1" applyAlignment="1">
      <alignment horizontal="right" vertical="center" wrapText="1"/>
    </xf>
    <xf numFmtId="10" fontId="11" fillId="7" borderId="20" xfId="2" applyNumberFormat="1" applyFont="1" applyFill="1" applyBorder="1" applyAlignment="1">
      <alignment horizontal="right" vertical="center" wrapText="1"/>
    </xf>
    <xf numFmtId="10" fontId="11" fillId="7" borderId="39" xfId="2" applyNumberFormat="1" applyFont="1" applyFill="1" applyBorder="1" applyAlignment="1">
      <alignment horizontal="right" vertical="center" wrapText="1"/>
    </xf>
    <xf numFmtId="165" fontId="5" fillId="6" borderId="39" xfId="0" applyNumberFormat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2" borderId="56" xfId="0" applyFill="1" applyBorder="1" applyAlignment="1" applyProtection="1">
      <alignment horizontal="right" vertical="center"/>
      <protection locked="0"/>
    </xf>
    <xf numFmtId="0" fontId="0" fillId="2" borderId="57" xfId="0" applyFill="1" applyBorder="1" applyAlignment="1" applyProtection="1">
      <alignment horizontal="right" vertical="center"/>
      <protection locked="0"/>
    </xf>
    <xf numFmtId="0" fontId="9" fillId="8" borderId="45" xfId="0" applyFont="1" applyFill="1" applyBorder="1" applyAlignment="1">
      <alignment horizontal="center"/>
    </xf>
    <xf numFmtId="0" fontId="9" fillId="8" borderId="46" xfId="0" applyFont="1" applyFill="1" applyBorder="1" applyAlignment="1">
      <alignment horizontal="center"/>
    </xf>
    <xf numFmtId="0" fontId="9" fillId="8" borderId="47" xfId="0" applyFont="1" applyFill="1" applyBorder="1" applyAlignment="1">
      <alignment horizontal="center"/>
    </xf>
    <xf numFmtId="165" fontId="5" fillId="6" borderId="38" xfId="0" applyNumberFormat="1" applyFont="1" applyFill="1" applyBorder="1" applyAlignment="1">
      <alignment horizontal="right" vertical="center" wrapText="1"/>
    </xf>
    <xf numFmtId="165" fontId="5" fillId="6" borderId="44" xfId="0" applyNumberFormat="1" applyFont="1" applyFill="1" applyBorder="1" applyAlignment="1">
      <alignment horizontal="right" vertical="center" wrapText="1"/>
    </xf>
    <xf numFmtId="10" fontId="11" fillId="7" borderId="38" xfId="2" applyNumberFormat="1" applyFont="1" applyFill="1" applyBorder="1" applyAlignment="1">
      <alignment horizontal="right" vertical="center" wrapText="1"/>
    </xf>
    <xf numFmtId="10" fontId="11" fillId="7" borderId="44" xfId="2" applyNumberFormat="1" applyFont="1" applyFill="1" applyBorder="1" applyAlignment="1">
      <alignment horizontal="right" vertical="center" wrapText="1"/>
    </xf>
    <xf numFmtId="165" fontId="5" fillId="6" borderId="35" xfId="0" applyNumberFormat="1" applyFont="1" applyFill="1" applyBorder="1" applyAlignment="1">
      <alignment horizontal="right" vertical="center" wrapText="1"/>
    </xf>
    <xf numFmtId="165" fontId="5" fillId="6" borderId="50" xfId="0" applyNumberFormat="1" applyFont="1" applyFill="1" applyBorder="1" applyAlignment="1">
      <alignment horizontal="right" vertical="center" wrapText="1"/>
    </xf>
  </cellXfs>
  <cellStyles count="3">
    <cellStyle name="Currency" xfId="1" builtinId="4"/>
    <cellStyle name="Euro" xfId="2"/>
    <cellStyle name="Normal" xfId="0" builtinId="0"/>
  </cellStyles>
  <dxfs count="6">
    <dxf>
      <fill>
        <patternFill>
          <bgColor rgb="FFFF643F"/>
        </patternFill>
      </fill>
    </dxf>
    <dxf>
      <fill>
        <patternFill>
          <bgColor rgb="FFC2D69A"/>
        </patternFill>
      </fill>
    </dxf>
    <dxf>
      <fill>
        <patternFill>
          <bgColor rgb="FFC2D69A"/>
        </patternFill>
      </fill>
    </dxf>
    <dxf>
      <fill>
        <patternFill>
          <bgColor rgb="FFFF643F"/>
        </patternFill>
      </fill>
    </dxf>
    <dxf>
      <fill>
        <patternFill>
          <bgColor rgb="FFFF643F"/>
        </patternFill>
      </fill>
    </dxf>
    <dxf>
      <fill>
        <patternFill>
          <bgColor rgb="FFC2D69A"/>
        </patternFill>
      </fill>
    </dxf>
  </dxfs>
  <tableStyles count="0" defaultTableStyle="TableStyleMedium2" defaultPivotStyle="PivotStyleLight16"/>
  <colors>
    <mruColors>
      <color rgb="FFFF643F"/>
      <color rgb="FFC2D69A"/>
      <color rgb="FFFFEF9C"/>
      <color rgb="FFE2DECB"/>
      <color rgb="FFFF3300"/>
      <color rgb="FFBFBFBF"/>
      <color rgb="FFDFDECB"/>
      <color rgb="FFC4BD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30"/>
  <sheetViews>
    <sheetView showGridLines="0" tabSelected="1" workbookViewId="0">
      <selection activeCell="C11" sqref="C11"/>
    </sheetView>
  </sheetViews>
  <sheetFormatPr defaultRowHeight="15"/>
  <cols>
    <col min="1" max="1" width="1.7109375" customWidth="1"/>
    <col min="2" max="2" width="50.5703125" customWidth="1"/>
    <col min="3" max="3" width="19.85546875" customWidth="1"/>
    <col min="4" max="5" width="6" customWidth="1"/>
    <col min="6" max="8" width="12" bestFit="1" customWidth="1"/>
    <col min="9" max="9" width="11" bestFit="1" customWidth="1"/>
    <col min="10" max="10" width="12" customWidth="1"/>
    <col min="11" max="11" width="1.42578125" customWidth="1"/>
    <col min="12" max="12" width="6" customWidth="1"/>
    <col min="13" max="13" width="6.85546875" customWidth="1"/>
    <col min="14" max="14" width="2.28515625" customWidth="1"/>
    <col min="15" max="15" width="6" customWidth="1"/>
    <col min="16" max="16" width="6.85546875" customWidth="1"/>
    <col min="17" max="17" width="2.28515625" customWidth="1"/>
    <col min="18" max="18" width="11" bestFit="1" customWidth="1"/>
    <col min="20" max="20" width="11" bestFit="1" customWidth="1"/>
  </cols>
  <sheetData>
    <row r="1" spans="2:18" ht="7.5" customHeight="1" thickBot="1"/>
    <row r="2" spans="2:18" ht="15" customHeight="1" thickBot="1">
      <c r="B2" s="57" t="s">
        <v>115</v>
      </c>
      <c r="C2" s="75" t="s">
        <v>70</v>
      </c>
      <c r="F2" s="95" t="s">
        <v>13</v>
      </c>
      <c r="G2" s="96"/>
      <c r="H2" s="96"/>
      <c r="I2" s="96"/>
      <c r="J2" s="97"/>
      <c r="L2" s="95" t="s">
        <v>123</v>
      </c>
      <c r="M2" s="96"/>
      <c r="N2" s="96"/>
      <c r="O2" s="96"/>
      <c r="P2" s="96"/>
      <c r="Q2" s="96"/>
      <c r="R2" s="97"/>
    </row>
    <row r="3" spans="2:18" ht="15" customHeight="1">
      <c r="B3" s="22" t="s">
        <v>26</v>
      </c>
      <c r="C3" s="76" t="s">
        <v>25</v>
      </c>
      <c r="F3" s="72" t="s">
        <v>0</v>
      </c>
      <c r="G3" s="73" t="s">
        <v>1</v>
      </c>
      <c r="H3" s="73" t="s">
        <v>2</v>
      </c>
      <c r="I3" s="73" t="s">
        <v>15</v>
      </c>
      <c r="J3" s="74" t="s">
        <v>3</v>
      </c>
      <c r="L3" s="58" t="s">
        <v>122</v>
      </c>
      <c r="M3" s="59"/>
      <c r="N3" s="59"/>
      <c r="O3" s="59"/>
      <c r="P3" s="59"/>
      <c r="Q3" s="60"/>
      <c r="R3" s="71">
        <f>IF(OR(SUM(C3:C4)=0,C8/(SUM(C3:C4)+1)&gt;8803.62),"Não",IF(C8/(SUM(C3:C4)+1)&gt;5869.08,26.54*(SUM(C4:C5)*C5+C4),IF(C8/(SUM(C3:C4)+1)&gt;2934.54,29.19*(SUM(C4:C5)*C5+C4),35.19*(SUM(C4:C5)*C5+C4))))</f>
        <v>53.08</v>
      </c>
    </row>
    <row r="4" spans="2:18" ht="15" customHeight="1">
      <c r="B4" s="11" t="s">
        <v>121</v>
      </c>
      <c r="C4" s="77">
        <v>2</v>
      </c>
      <c r="F4" s="4">
        <v>0</v>
      </c>
      <c r="G4" s="7">
        <v>7000</v>
      </c>
      <c r="H4" s="8">
        <v>0.14499999999999999</v>
      </c>
      <c r="I4" s="8" t="s">
        <v>12</v>
      </c>
      <c r="J4" s="5">
        <v>0</v>
      </c>
      <c r="L4" s="61" t="s">
        <v>119</v>
      </c>
      <c r="M4" s="54"/>
      <c r="N4" s="54"/>
      <c r="O4" s="54"/>
      <c r="P4" s="54"/>
      <c r="Q4" s="62"/>
      <c r="R4" s="64" t="str">
        <f>IF(C3="solteiro",IF(C8&gt;628.83*12,"Não","Sim"),IF(C8&gt;628.83*12*2,"Não","Sim"))</f>
        <v>Não</v>
      </c>
    </row>
    <row r="5" spans="2:18" ht="15.75" customHeight="1">
      <c r="B5" s="11" t="s">
        <v>120</v>
      </c>
      <c r="C5" s="77">
        <v>0</v>
      </c>
      <c r="E5" s="19"/>
      <c r="F5" s="15">
        <f>G4+0.01</f>
        <v>7000.01</v>
      </c>
      <c r="G5" s="16">
        <v>20000</v>
      </c>
      <c r="H5" s="17">
        <v>0.28499999999999998</v>
      </c>
      <c r="I5" s="16">
        <v>1250</v>
      </c>
      <c r="J5" s="18">
        <f>(H5-H4)*F5</f>
        <v>980.00139999999988</v>
      </c>
      <c r="L5" s="63" t="s">
        <v>127</v>
      </c>
      <c r="M5" s="54"/>
      <c r="N5" s="54"/>
      <c r="O5" s="54"/>
      <c r="P5" s="54"/>
      <c r="Q5" s="62"/>
      <c r="R5" s="64" t="str">
        <f>IF(R3="não","Não","Sim")</f>
        <v>Sim</v>
      </c>
    </row>
    <row r="6" spans="2:18" ht="15.75" thickBot="1">
      <c r="B6" s="69" t="s">
        <v>125</v>
      </c>
      <c r="C6" s="98">
        <v>0</v>
      </c>
      <c r="F6" s="15">
        <f>G5+0.01</f>
        <v>20000.009999999998</v>
      </c>
      <c r="G6" s="16">
        <v>40000</v>
      </c>
      <c r="H6" s="17">
        <v>0.37</v>
      </c>
      <c r="I6" s="16">
        <v>1000</v>
      </c>
      <c r="J6" s="18">
        <f>(H6-H5)*F6+J5</f>
        <v>2680.0022500000005</v>
      </c>
      <c r="L6" s="65" t="s">
        <v>124</v>
      </c>
      <c r="M6" s="66"/>
      <c r="N6" s="66"/>
      <c r="O6" s="66"/>
      <c r="P6" s="66"/>
      <c r="Q6" s="67"/>
      <c r="R6" s="68" t="str">
        <f>IF(C8/(14*(IF(C3="casado",2,1)+0.25*SUM(C4:C5)))&gt;503.06,"Não","Sim")</f>
        <v>Não</v>
      </c>
    </row>
    <row r="7" spans="2:18">
      <c r="B7" s="70" t="s">
        <v>126</v>
      </c>
      <c r="C7" s="99"/>
      <c r="D7" s="3"/>
      <c r="F7" s="15">
        <f>G6+0.01</f>
        <v>40000.01</v>
      </c>
      <c r="G7" s="7">
        <v>80000</v>
      </c>
      <c r="H7" s="8">
        <v>0.45</v>
      </c>
      <c r="I7" s="7">
        <v>500</v>
      </c>
      <c r="J7" s="5">
        <f>(H7-H6)*F7+J6</f>
        <v>5880.0030500000012</v>
      </c>
    </row>
    <row r="8" spans="2:18" ht="15.75" thickBot="1">
      <c r="B8" s="11" t="s">
        <v>20</v>
      </c>
      <c r="C8" s="78">
        <v>21000</v>
      </c>
      <c r="F8" s="25">
        <f>G7+0.01</f>
        <v>80000.009999999995</v>
      </c>
      <c r="G8" s="9" t="s">
        <v>4</v>
      </c>
      <c r="H8" s="10">
        <v>0.48</v>
      </c>
      <c r="I8" s="27">
        <v>0</v>
      </c>
      <c r="J8" s="6">
        <f>(H8-H7)*F8+J7</f>
        <v>8280.003349999999</v>
      </c>
      <c r="R8" s="3"/>
    </row>
    <row r="9" spans="2:18">
      <c r="B9" s="53" t="s">
        <v>132</v>
      </c>
      <c r="C9" s="79">
        <v>1200</v>
      </c>
      <c r="H9" s="1"/>
      <c r="I9" s="1"/>
      <c r="J9" s="2"/>
      <c r="R9" s="3"/>
    </row>
    <row r="10" spans="2:18">
      <c r="B10" s="53" t="s">
        <v>31</v>
      </c>
      <c r="C10" s="79">
        <v>300</v>
      </c>
      <c r="F10" s="50" t="s">
        <v>16</v>
      </c>
      <c r="G10" s="2"/>
      <c r="H10" s="2"/>
      <c r="I10" s="2"/>
      <c r="J10" s="2"/>
    </row>
    <row r="11" spans="2:18" ht="15.75" thickBot="1">
      <c r="B11" s="53" t="s">
        <v>35</v>
      </c>
      <c r="C11" s="79">
        <v>0</v>
      </c>
      <c r="D11" s="3"/>
      <c r="G11" s="2"/>
      <c r="H11" s="2"/>
      <c r="I11" s="2"/>
      <c r="J11" s="2"/>
    </row>
    <row r="12" spans="2:18" ht="17.25" thickTop="1" thickBot="1">
      <c r="B12" s="53" t="s">
        <v>128</v>
      </c>
      <c r="C12" s="80">
        <v>0</v>
      </c>
      <c r="I12" s="3"/>
      <c r="J12" s="3"/>
      <c r="L12" s="100">
        <v>2014</v>
      </c>
      <c r="M12" s="101"/>
      <c r="N12" s="101"/>
      <c r="O12" s="101">
        <v>2015</v>
      </c>
      <c r="P12" s="101"/>
      <c r="Q12" s="102"/>
    </row>
    <row r="13" spans="2:18" ht="16.5" customHeight="1" thickTop="1">
      <c r="B13" s="53" t="s">
        <v>32</v>
      </c>
      <c r="C13" s="79">
        <v>0</v>
      </c>
      <c r="F13" s="28" t="s">
        <v>17</v>
      </c>
      <c r="G13" s="29"/>
      <c r="H13" s="29"/>
      <c r="I13" s="29"/>
      <c r="J13" s="30"/>
      <c r="K13" s="31"/>
      <c r="L13" s="107">
        <f>$C$8</f>
        <v>21000</v>
      </c>
      <c r="M13" s="88"/>
      <c r="N13" s="108"/>
      <c r="O13" s="88">
        <f>$C$8</f>
        <v>21000</v>
      </c>
      <c r="P13" s="88"/>
      <c r="Q13" s="89"/>
    </row>
    <row r="14" spans="2:18" ht="15.75" customHeight="1">
      <c r="B14" s="53" t="s">
        <v>33</v>
      </c>
      <c r="C14" s="79">
        <v>0</v>
      </c>
      <c r="F14" s="32" t="s">
        <v>18</v>
      </c>
      <c r="G14" s="33"/>
      <c r="H14" s="33"/>
      <c r="I14" s="33"/>
      <c r="J14" s="34"/>
      <c r="K14" s="31"/>
      <c r="L14" s="103">
        <f>MAX(4104,L13*11%)</f>
        <v>4104</v>
      </c>
      <c r="M14" s="90"/>
      <c r="N14" s="104"/>
      <c r="O14" s="90">
        <f>MAX(4104,L13*11%)</f>
        <v>4104</v>
      </c>
      <c r="P14" s="90"/>
      <c r="Q14" s="91"/>
    </row>
    <row r="15" spans="2:18" ht="15.75" customHeight="1">
      <c r="B15" s="53" t="s">
        <v>34</v>
      </c>
      <c r="C15" s="79">
        <v>0</v>
      </c>
      <c r="F15" s="35" t="s">
        <v>19</v>
      </c>
      <c r="G15" s="36"/>
      <c r="H15" s="36"/>
      <c r="I15" s="36"/>
      <c r="J15" s="37"/>
      <c r="K15" s="31"/>
      <c r="L15" s="103">
        <f>L13-L14</f>
        <v>16896</v>
      </c>
      <c r="M15" s="90"/>
      <c r="N15" s="104"/>
      <c r="O15" s="90">
        <f>O13-O14-MIN(C11,MIN(1100*C12,IF(C3="solteiro",2250,4500)))</f>
        <v>16896</v>
      </c>
      <c r="P15" s="90"/>
      <c r="Q15" s="91"/>
    </row>
    <row r="16" spans="2:18">
      <c r="B16" s="53" t="s">
        <v>36</v>
      </c>
      <c r="C16" s="79">
        <v>0</v>
      </c>
      <c r="F16" s="38" t="s">
        <v>27</v>
      </c>
      <c r="G16" s="39"/>
      <c r="H16" s="44" t="str">
        <f>CONCATENATE("÷ ",IF(C3="solteiro",1,2)," (2014)   —   ","÷ ",IF(C3="solteiro",1+0.3*SUM(C4:C5),2+0.3*SUM(C4:C5))," (2015)")</f>
        <v>÷ 2 (2014)   —   ÷ 2,6 (2015)</v>
      </c>
      <c r="I16" s="39"/>
      <c r="J16" s="40"/>
      <c r="K16" s="31"/>
      <c r="L16" s="103">
        <f>L15/IF($C$3="solteiro",1,2)</f>
        <v>8448</v>
      </c>
      <c r="M16" s="90"/>
      <c r="N16" s="104"/>
      <c r="O16" s="90">
        <f>O15/IF($C$3="solteiro",1+0.3*SUM($C$4:$C$5),2+0.3*SUM($C$4:$C$5))</f>
        <v>6498.4615384615381</v>
      </c>
      <c r="P16" s="90"/>
      <c r="Q16" s="91"/>
    </row>
    <row r="17" spans="2:20" ht="15.75" customHeight="1">
      <c r="B17" s="22" t="s">
        <v>129</v>
      </c>
      <c r="C17" s="55">
        <f>$C$8*89%-O26+IF(R3="não",0,12*R3)</f>
        <v>18248.492999999999</v>
      </c>
      <c r="F17" s="38" t="s">
        <v>40</v>
      </c>
      <c r="G17" s="41"/>
      <c r="H17" s="41"/>
      <c r="I17" s="41"/>
      <c r="J17" s="42"/>
      <c r="K17" s="31"/>
      <c r="L17" s="105">
        <f>IF(L16&lt;$F$5,$H$4,IF(L16&lt;$F$6,$H$5,IF(L16&lt;$F$7,$H$6,IF(L16&lt;$F$8,$H$7,$H$8))))</f>
        <v>0.28499999999999998</v>
      </c>
      <c r="M17" s="92"/>
      <c r="N17" s="106"/>
      <c r="O17" s="92">
        <f>IF(O16&lt;$F$5,$H$4,IF(O16&lt;$F$6,$H$5,IF(O16&lt;$F$7,$H$6,IF(O16&lt;$F$8,$H$7,$H$8))))</f>
        <v>0.14499999999999999</v>
      </c>
      <c r="P17" s="92"/>
      <c r="Q17" s="93"/>
    </row>
    <row r="18" spans="2:20" ht="15.75" customHeight="1">
      <c r="B18" s="20" t="s">
        <v>130</v>
      </c>
      <c r="C18" s="14">
        <f>$C$8*89%-L26+IF(R3="não",0,12*R3)</f>
        <v>17827.987979999998</v>
      </c>
      <c r="F18" s="43" t="s">
        <v>28</v>
      </c>
      <c r="G18" s="44"/>
      <c r="H18" s="44"/>
      <c r="I18" s="44"/>
      <c r="J18" s="45"/>
      <c r="K18" s="31"/>
      <c r="L18" s="103">
        <f>L16*L17</f>
        <v>2407.6799999999998</v>
      </c>
      <c r="M18" s="90"/>
      <c r="N18" s="104"/>
      <c r="O18" s="90">
        <f>O17*O16</f>
        <v>942.27692307692291</v>
      </c>
      <c r="P18" s="90"/>
      <c r="Q18" s="91"/>
      <c r="T18" s="26"/>
    </row>
    <row r="19" spans="2:20" ht="15.75" thickBot="1">
      <c r="B19" s="21" t="s">
        <v>14</v>
      </c>
      <c r="C19" s="23">
        <f>C17-C18</f>
        <v>420.50502000000051</v>
      </c>
      <c r="F19" s="38" t="s">
        <v>29</v>
      </c>
      <c r="G19" s="41"/>
      <c r="H19" s="41"/>
      <c r="I19" s="41"/>
      <c r="J19" s="42"/>
      <c r="K19" s="31"/>
      <c r="L19" s="103">
        <f>INDEX($J$4:$J$8,MATCH(L17,$H$4:$H$8,0),0)</f>
        <v>980.00139999999988</v>
      </c>
      <c r="M19" s="90"/>
      <c r="N19" s="104"/>
      <c r="O19" s="90">
        <f>INDEX($J$4:$J$8,MATCH(O17,$H$4:$H$8,0),0)</f>
        <v>0</v>
      </c>
      <c r="P19" s="90"/>
      <c r="Q19" s="91"/>
    </row>
    <row r="20" spans="2:20" ht="15.75" customHeight="1">
      <c r="C20" s="3"/>
      <c r="E20" s="2"/>
      <c r="F20" s="38" t="s">
        <v>30</v>
      </c>
      <c r="G20" s="41"/>
      <c r="H20" s="41"/>
      <c r="I20" s="41"/>
      <c r="J20" s="42"/>
      <c r="K20" s="31"/>
      <c r="L20" s="84">
        <f>L18-L19</f>
        <v>1427.6786</v>
      </c>
      <c r="M20" s="85"/>
      <c r="N20" s="86"/>
      <c r="O20" s="85">
        <f>O18-O19</f>
        <v>942.27692307692291</v>
      </c>
      <c r="P20" s="85"/>
      <c r="Q20" s="94"/>
      <c r="T20" s="26"/>
    </row>
    <row r="21" spans="2:20">
      <c r="F21" s="38" t="s">
        <v>37</v>
      </c>
      <c r="G21" s="51"/>
      <c r="H21" s="44" t="str">
        <f>CONCATENATE("× ",IF(C3="solteiro",1,2)," (2014)   —   ","× ",IF(C3="solteiro",1+0.3*SUM(C4:C5),2+0.3*SUM(C4:C5))," (2015)")</f>
        <v>× 2 (2014)   —   × 2,6 (2015)</v>
      </c>
      <c r="I21" s="51"/>
      <c r="J21" s="52"/>
      <c r="K21" s="31"/>
      <c r="L21" s="84">
        <f>L20*IF($C$3="solteiro",1,2)</f>
        <v>2855.3571999999999</v>
      </c>
      <c r="M21" s="85"/>
      <c r="N21" s="86"/>
      <c r="O21" s="85">
        <f>MIN(IF($L$21-(O20*IF($C$3="solteiro",1+0.3*SUM($C$4:$C$5),2+0.3*SUM($C$4:$C$5)))&gt;(IF(SUM($C$4:$C$5)=1,600,IF(SUM($C$4:$C$5)=2,1250,2000))),$L$21-(IF(SUM($C$4:$C$5)=1,600,IF(SUM($C$4:$C$5)=2,1250,2000))),O20*IF($C$3="solteiro",1+0.3*SUM($C$4:$C$5),2+0.3*SUM($C$4:$C$5))),L21)</f>
        <v>2449.9199999999996</v>
      </c>
      <c r="P21" s="85"/>
      <c r="Q21" s="94"/>
      <c r="R21" s="26"/>
      <c r="T21" s="26"/>
    </row>
    <row r="22" spans="2:20">
      <c r="B22" s="12" t="s">
        <v>5</v>
      </c>
      <c r="F22" s="38" t="s">
        <v>38</v>
      </c>
      <c r="G22" s="41"/>
      <c r="H22" s="41"/>
      <c r="I22" s="41"/>
      <c r="J22" s="42"/>
      <c r="K22" s="31"/>
      <c r="L22" s="84">
        <f>IF(L17=$H$8,0,IF(L17=$H$7,MIN(I7*(1+0.1*SUM($C$4:$C$5)),213.75*IF($C$3="casado",2,1)+IF(SUM($C$4:$C$5)&gt;2,237.5*$C$4+237.5*2*$C$5,213.75*$C$4+213.75*2*$C$5)+IF($C$6&gt;1,261.25*$C$6,403.75)+MIN(838.44,$C$10*10%)+MIN(760,$C$11*30%)+MIN(403.75,$C$13*25%)+MIN(296,$C$14*15%)+MIN(502,$C$15*15%)+MIN(419.22,$C$16*20%)++MIN(C9*10%,25*SUM(C4:C5)+IF(C3="casado",100,50))),IF(L17=H6,MIN($I$6*(1+0.1*SUM($C$4:$C$5)),213.75*IF($C$3="casado",2,1)+IF(SUM($C$4:$C$5)&gt;2,237.5*$C$4+237.5*2*$C$5,213.75*$C$4+213.75*2*$C$5)+IF($C$6&gt;1,261.25*$C$6,403.75)+MIN(838.44,$C$10*10%)+MIN(760,$C$11*30%)+MIN(403.75,$C$13*25%)+MIN(296,$C$14*15%)+MIN(502,$C$15*15%)+MIN(419.22,$C$16*20%)+MIN(C9*10%,25*SUM(C4:C5)+IF(C3="casado",100,50))),IF(L17=H5,MIN($I$5*(1+0.1*SUM($C$4:$C$5)),213.75*IF($C$3="casado",2,1)+IF(SUM($C$4:$C$5)&gt;2,237.5*$C$4+237.5*2*$C$5,213.75*$C$4+213.75*2*$C$5)+IF($C$6&gt;1,261.25*$C$6,403.75)+MIN(838.44,$C$10*10%)+MIN(760,C11*30%)+MIN(403.75,$C$13*25%)+MIN(296,$C$14*15%)+MIN(502,$C$15*15%)+MIN(419.22,$C$16*20%)+MIN(C9*10%,25*SUM(C4:C5)+IF(C3="casado",100,50))),213.75*IF($C$3="casado",2,1)+IF(SUM($C$4:$C$5)&gt;2,237.5*$C$4+237.5*2*$C$5,213.75*$C$4+213.75*2*$C$5)+IF($C$6&gt;1,261.25*$C$6,403.75)+MIN(838.44,$C$10*10%)+MIN(760,$C$11*30%)+MIN(403.75,$C$13*25%)+MIN(296,$C$14*15%)+MIN(502,$C$15*15%)+MIN(419.22,$C$16*20%)+MIN(C9*10%,25*SUM(C4:C5)+IF(C3="casado",100,50))))))</f>
        <v>1408.75</v>
      </c>
      <c r="M22" s="85"/>
      <c r="N22" s="86"/>
      <c r="O22" s="85">
        <f>IF(O17=$H$8,0,IF(O17=$H$7,MIN(I7*(1+0.1*SUM($C$4:$C$5)),325*SUM($C$4:$C$5)+300*C6+MIN(1000,$C$10*15%)+MIN(419.22,$C$16*20%)+MIN(C9*10%,25*SUM(C4:C5)+IF(C3="casado",100,50))+600),IF(O17=$H$6,MIN(I6*(1+0.1*SUM($C$4:$C$5)),325*SUM($C$4:$C$5)+300*C6+MIN(1000,$C$10*15%)+MIN(419.22,$C$16*20%)+MIN(C9*10%,25*SUM(C4:C5)+IF(C3="casado",100,50))+600),IF(O17=H5,MIN($I$5*(1+0.1*SUM($C$4:$C$5)),325*SUM($C$4:$C$5)+300*C6+MIN(1000,$C$10*15%)+MIN(419.22,$C$16*20%)+MIN(C9*10%,25*SUM(C4:C5)+IF(C3="casado",100,50))+600),325*SUM($C$4:$C$5)+300*C6+MIN(1000,$C$10*15%)+MIN(419.22,$C$16*20%)+MIN(C9*10%,25*SUM(C4:C5)+IF(C3="casado",100,50))+600))))</f>
        <v>1415</v>
      </c>
      <c r="P22" s="85"/>
      <c r="Q22" s="94"/>
    </row>
    <row r="23" spans="2:20">
      <c r="F23" s="38" t="s">
        <v>39</v>
      </c>
      <c r="G23" s="41"/>
      <c r="H23" s="41"/>
      <c r="I23" s="41"/>
      <c r="J23" s="42"/>
      <c r="K23" s="46"/>
      <c r="L23" s="84">
        <f>INDEX(Sheet1!$C:$C,MATCH(Main!$C$2,Sheet1!$A:$A,0),0)*(L21-L22+L25)</f>
        <v>38.435180000000003</v>
      </c>
      <c r="M23" s="85"/>
      <c r="N23" s="86"/>
      <c r="O23" s="85">
        <f>INDEX(Sheet1!$C:$C,MATCH(Main!$C$2,Sheet1!$A:$A,0),0)*(O21-O22+O25)</f>
        <v>27.652999999999992</v>
      </c>
      <c r="P23" s="85"/>
      <c r="Q23" s="94"/>
    </row>
    <row r="24" spans="2:20">
      <c r="B24" s="13" t="s">
        <v>8</v>
      </c>
      <c r="F24" s="38" t="s">
        <v>41</v>
      </c>
      <c r="G24" s="41"/>
      <c r="H24" s="41"/>
      <c r="I24" s="41"/>
      <c r="J24" s="42"/>
      <c r="K24" s="46"/>
      <c r="L24" s="84">
        <f>L21-L22-L23</f>
        <v>1408.17202</v>
      </c>
      <c r="M24" s="85"/>
      <c r="N24" s="86"/>
      <c r="O24" s="85">
        <f>O21-O22-O23</f>
        <v>1007.2669999999996</v>
      </c>
      <c r="P24" s="85"/>
      <c r="Q24" s="94"/>
    </row>
    <row r="25" spans="2:20">
      <c r="B25" s="13" t="s">
        <v>9</v>
      </c>
      <c r="F25" s="38" t="s">
        <v>42</v>
      </c>
      <c r="G25" s="41"/>
      <c r="H25" s="41"/>
      <c r="I25" s="41"/>
      <c r="J25" s="42"/>
      <c r="K25" s="46"/>
      <c r="L25" s="84">
        <f>(L15-485*IF($C$3="casado",2,1)*14)*3.5%-12.63*SUM($C$4:$C$5)</f>
        <v>90.800000000000011</v>
      </c>
      <c r="M25" s="85"/>
      <c r="N25" s="86"/>
      <c r="O25" s="85">
        <f>(L15-505*IF($C$3="casado",2,1)*14)*3.5%-12.63*SUM($C$4:$C$5)</f>
        <v>71.2</v>
      </c>
      <c r="P25" s="85"/>
      <c r="Q25" s="94"/>
    </row>
    <row r="26" spans="2:20" ht="15.75" thickBot="1">
      <c r="B26" s="13"/>
      <c r="F26" s="47" t="s">
        <v>131</v>
      </c>
      <c r="G26" s="48"/>
      <c r="H26" s="48"/>
      <c r="I26" s="48"/>
      <c r="J26" s="49"/>
      <c r="K26" s="46"/>
      <c r="L26" s="81">
        <f>L24+L25</f>
        <v>1498.9720199999999</v>
      </c>
      <c r="M26" s="82"/>
      <c r="N26" s="83"/>
      <c r="O26" s="82">
        <f>O24+O25</f>
        <v>1078.4669999999996</v>
      </c>
      <c r="P26" s="82"/>
      <c r="Q26" s="87"/>
    </row>
    <row r="27" spans="2:20" ht="15.75" thickTop="1">
      <c r="B27" s="24" t="s">
        <v>24</v>
      </c>
    </row>
    <row r="28" spans="2:20">
      <c r="B28" s="13" t="s">
        <v>21</v>
      </c>
    </row>
    <row r="29" spans="2:20">
      <c r="B29" s="13" t="s">
        <v>22</v>
      </c>
      <c r="C29" s="2"/>
    </row>
    <row r="30" spans="2:20">
      <c r="B30" s="13" t="s">
        <v>23</v>
      </c>
      <c r="C30" s="3"/>
    </row>
  </sheetData>
  <sheetProtection sheet="1" objects="1" scenarios="1" selectLockedCells="1"/>
  <mergeCells count="33">
    <mergeCell ref="L2:R2"/>
    <mergeCell ref="C6:C7"/>
    <mergeCell ref="L12:N12"/>
    <mergeCell ref="O12:Q12"/>
    <mergeCell ref="O25:Q25"/>
    <mergeCell ref="L18:N18"/>
    <mergeCell ref="L19:N19"/>
    <mergeCell ref="L20:N20"/>
    <mergeCell ref="L15:N15"/>
    <mergeCell ref="L16:N16"/>
    <mergeCell ref="L17:N17"/>
    <mergeCell ref="F2:J2"/>
    <mergeCell ref="L13:N13"/>
    <mergeCell ref="L14:N14"/>
    <mergeCell ref="O26:Q26"/>
    <mergeCell ref="O13:Q13"/>
    <mergeCell ref="O14:Q14"/>
    <mergeCell ref="O15:Q15"/>
    <mergeCell ref="O16:Q16"/>
    <mergeCell ref="O17:Q17"/>
    <mergeCell ref="O18:Q18"/>
    <mergeCell ref="O19:Q19"/>
    <mergeCell ref="O20:Q20"/>
    <mergeCell ref="O21:Q21"/>
    <mergeCell ref="O22:Q22"/>
    <mergeCell ref="O23:Q23"/>
    <mergeCell ref="O24:Q24"/>
    <mergeCell ref="L26:N26"/>
    <mergeCell ref="L24:N24"/>
    <mergeCell ref="L25:N25"/>
    <mergeCell ref="L21:N21"/>
    <mergeCell ref="L22:N22"/>
    <mergeCell ref="L23:N23"/>
  </mergeCells>
  <conditionalFormatting sqref="R3">
    <cfRule type="containsText" priority="7" operator="containsText" text="Não">
      <formula>NOT(ISERROR(SEARCH("Não",R3)))</formula>
    </cfRule>
    <cfRule type="cellIs" dxfId="5" priority="6" operator="greaterThan">
      <formula>0</formula>
    </cfRule>
    <cfRule type="containsText" dxfId="4" priority="5" operator="containsText" text="Não">
      <formula>NOT(ISERROR(SEARCH("Não",R3)))</formula>
    </cfRule>
  </conditionalFormatting>
  <conditionalFormatting sqref="R4">
    <cfRule type="containsText" dxfId="3" priority="4" operator="containsText" text="Não">
      <formula>NOT(ISERROR(SEARCH("Não",R4)))</formula>
    </cfRule>
    <cfRule type="containsText" dxfId="2" priority="3" operator="containsText" text="Sim">
      <formula>NOT(ISERROR(SEARCH("Sim",R4)))</formula>
    </cfRule>
  </conditionalFormatting>
  <conditionalFormatting sqref="R5:R6">
    <cfRule type="containsText" dxfId="1" priority="2" operator="containsText" text="Sim">
      <formula>NOT(ISERROR(SEARCH("Sim",R5)))</formula>
    </cfRule>
    <cfRule type="containsText" dxfId="0" priority="1" operator="containsText" text="Não">
      <formula>NOT(ISERROR(SEARCH("Não",R5)))</formula>
    </cfRule>
  </conditionalFormatting>
  <dataValidations count="5">
    <dataValidation type="list" allowBlank="1" showInputMessage="1" showErrorMessage="1" sqref="C3">
      <formula1>Opções!A2:A3</formula1>
    </dataValidation>
    <dataValidation type="list" allowBlank="1" showInputMessage="1" showErrorMessage="1" sqref="C4:C5">
      <formula1>Opções!B2:B7</formula1>
    </dataValidation>
    <dataValidation type="list" allowBlank="1" showInputMessage="1" showErrorMessage="1" sqref="C6">
      <formula1>Opções!C2:C6</formula1>
    </dataValidation>
    <dataValidation type="list" allowBlank="1" showInputMessage="1" showErrorMessage="1" sqref="C2">
      <formula1>Sheet1!A2:A74</formula1>
    </dataValidation>
    <dataValidation type="decimal" allowBlank="1" showInputMessage="1" showErrorMessage="1" error="Insira um valor entre zero e o número de pessoas que usufruiram de despesas de formação educação. Caso não tenha inserido o valor das despesas, insira esse valor primeiro." sqref="C12">
      <formula1>0</formula1>
      <formula2>IF(C11=0,0,IF(C3="solteiro",1,2)+SUM(C4:C5))</formula2>
    </dataValidation>
  </dataValidations>
  <pageMargins left="0.7" right="0.7" top="0.75" bottom="0.75" header="0.3" footer="0.3"/>
  <pageSetup paperSize="9" orientation="portrait" r:id="rId1"/>
  <ignoredErrors>
    <ignoredError sqref="O14" formula="1"/>
  </ignoredError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Opções!$A$2:$A$4</xm:f>
          </x14:formula1>
          <xm:sqref>C3</xm:sqref>
        </x14:dataValidation>
        <x14:dataValidation type="list" allowBlank="1" showInputMessage="1" showErrorMessage="1">
          <x14:formula1>
            <xm:f>Opções!$C$2:$C$6</xm:f>
          </x14:formula1>
          <xm:sqref>C6</xm:sqref>
        </x14:dataValidation>
        <x14:dataValidation type="list" allowBlank="1" showInputMessage="1" showErrorMessage="1">
          <x14:formula1>
            <xm:f>Opções!$B$2:$B$7</xm:f>
          </x14:formula1>
          <xm:sqref>C5</xm:sqref>
        </x14:dataValidation>
        <x14:dataValidation type="list" allowBlank="1" showInputMessage="1" showErrorMessage="1">
          <x14:formula1>
            <xm:f>Opções!$B$2:$B$7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B10" sqref="B10"/>
    </sheetView>
  </sheetViews>
  <sheetFormatPr defaultRowHeight="15"/>
  <cols>
    <col min="1" max="1" width="20.140625" bestFit="1" customWidth="1"/>
  </cols>
  <sheetData>
    <row r="1" spans="1:3">
      <c r="A1" t="s">
        <v>6</v>
      </c>
      <c r="B1" t="s">
        <v>10</v>
      </c>
      <c r="C1" t="s">
        <v>11</v>
      </c>
    </row>
    <row r="2" spans="1:3">
      <c r="A2" t="s">
        <v>7</v>
      </c>
      <c r="B2">
        <v>0</v>
      </c>
      <c r="C2">
        <v>0</v>
      </c>
    </row>
    <row r="3" spans="1:3">
      <c r="A3" t="s">
        <v>25</v>
      </c>
      <c r="B3">
        <v>1</v>
      </c>
      <c r="C3">
        <v>1</v>
      </c>
    </row>
    <row r="4" spans="1:3">
      <c r="B4">
        <v>2</v>
      </c>
      <c r="C4">
        <v>2</v>
      </c>
    </row>
    <row r="5" spans="1:3">
      <c r="B5">
        <v>3</v>
      </c>
      <c r="C5">
        <v>3</v>
      </c>
    </row>
    <row r="6" spans="1:3">
      <c r="B6">
        <v>4</v>
      </c>
      <c r="C6">
        <v>4</v>
      </c>
    </row>
    <row r="7" spans="1:3">
      <c r="B7">
        <v>5</v>
      </c>
    </row>
    <row r="8" spans="1:3">
      <c r="B8">
        <v>6</v>
      </c>
    </row>
    <row r="9" spans="1:3">
      <c r="B9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74"/>
  <sheetViews>
    <sheetView topLeftCell="A49" workbookViewId="0">
      <selection activeCell="A3" sqref="A3"/>
    </sheetView>
  </sheetViews>
  <sheetFormatPr defaultRowHeight="15"/>
  <cols>
    <col min="1" max="1" width="38.85546875" customWidth="1"/>
    <col min="3" max="3" width="9.140625" style="1"/>
  </cols>
  <sheetData>
    <row r="1" spans="1:3">
      <c r="A1" t="s">
        <v>115</v>
      </c>
      <c r="B1" t="s">
        <v>116</v>
      </c>
      <c r="C1" s="1" t="s">
        <v>117</v>
      </c>
    </row>
    <row r="2" spans="1:3">
      <c r="A2" s="56" t="s">
        <v>118</v>
      </c>
      <c r="B2">
        <v>0</v>
      </c>
      <c r="C2" s="1">
        <v>0</v>
      </c>
    </row>
    <row r="3" spans="1:3">
      <c r="A3" s="56" t="s">
        <v>112</v>
      </c>
      <c r="B3">
        <v>0.5</v>
      </c>
      <c r="C3" s="1">
        <f t="shared" ref="C3:C34" si="0">B3/100</f>
        <v>5.0000000000000001E-3</v>
      </c>
    </row>
    <row r="4" spans="1:3">
      <c r="A4" s="56" t="s">
        <v>59</v>
      </c>
      <c r="B4">
        <v>3</v>
      </c>
      <c r="C4" s="1">
        <f t="shared" si="0"/>
        <v>0.03</v>
      </c>
    </row>
    <row r="5" spans="1:3">
      <c r="A5" s="56" t="s">
        <v>114</v>
      </c>
      <c r="B5">
        <v>1</v>
      </c>
      <c r="C5" s="1">
        <f t="shared" si="0"/>
        <v>0.01</v>
      </c>
    </row>
    <row r="6" spans="1:3">
      <c r="A6" s="56" t="s">
        <v>93</v>
      </c>
      <c r="B6">
        <v>1</v>
      </c>
      <c r="C6" s="1">
        <f t="shared" si="0"/>
        <v>0.01</v>
      </c>
    </row>
    <row r="7" spans="1:3">
      <c r="A7" s="56" t="s">
        <v>94</v>
      </c>
      <c r="B7">
        <v>1</v>
      </c>
      <c r="C7" s="1">
        <f t="shared" si="0"/>
        <v>0.01</v>
      </c>
    </row>
    <row r="8" spans="1:3">
      <c r="A8" s="56" t="s">
        <v>43</v>
      </c>
      <c r="B8">
        <v>5</v>
      </c>
      <c r="C8" s="1">
        <f t="shared" si="0"/>
        <v>0.05</v>
      </c>
    </row>
    <row r="9" spans="1:3">
      <c r="A9" s="56" t="s">
        <v>65</v>
      </c>
      <c r="B9">
        <v>2.5</v>
      </c>
      <c r="C9" s="1">
        <f t="shared" si="0"/>
        <v>2.5000000000000001E-2</v>
      </c>
    </row>
    <row r="10" spans="1:3">
      <c r="A10" s="56" t="s">
        <v>92</v>
      </c>
      <c r="B10">
        <v>1.2</v>
      </c>
      <c r="C10" s="1">
        <f t="shared" si="0"/>
        <v>1.2E-2</v>
      </c>
    </row>
    <row r="11" spans="1:3">
      <c r="A11" s="56" t="s">
        <v>60</v>
      </c>
      <c r="B11">
        <v>3</v>
      </c>
      <c r="C11" s="1">
        <f t="shared" si="0"/>
        <v>0.03</v>
      </c>
    </row>
    <row r="12" spans="1:3">
      <c r="A12" s="56" t="s">
        <v>66</v>
      </c>
      <c r="B12">
        <v>2.5</v>
      </c>
      <c r="C12" s="1">
        <f t="shared" si="0"/>
        <v>2.5000000000000001E-2</v>
      </c>
    </row>
    <row r="13" spans="1:3">
      <c r="A13" s="56" t="s">
        <v>111</v>
      </c>
      <c r="B13">
        <v>0.7</v>
      </c>
      <c r="C13" s="1">
        <f t="shared" si="0"/>
        <v>6.9999999999999993E-3</v>
      </c>
    </row>
    <row r="14" spans="1:3">
      <c r="A14" s="56" t="s">
        <v>67</v>
      </c>
      <c r="B14">
        <v>2.5</v>
      </c>
      <c r="C14" s="1">
        <f t="shared" si="0"/>
        <v>2.5000000000000001E-2</v>
      </c>
    </row>
    <row r="15" spans="1:3">
      <c r="A15" s="56" t="s">
        <v>44</v>
      </c>
      <c r="B15">
        <v>5</v>
      </c>
      <c r="C15" s="1">
        <f t="shared" si="0"/>
        <v>0.05</v>
      </c>
    </row>
    <row r="16" spans="1:3">
      <c r="A16" s="56" t="s">
        <v>61</v>
      </c>
      <c r="B16">
        <v>3</v>
      </c>
      <c r="C16" s="1">
        <f t="shared" si="0"/>
        <v>0.03</v>
      </c>
    </row>
    <row r="17" spans="1:3">
      <c r="A17" s="56" t="s">
        <v>80</v>
      </c>
      <c r="B17">
        <v>2</v>
      </c>
      <c r="C17" s="1">
        <f t="shared" si="0"/>
        <v>0.02</v>
      </c>
    </row>
    <row r="18" spans="1:3">
      <c r="A18" s="56" t="s">
        <v>81</v>
      </c>
      <c r="B18">
        <v>2</v>
      </c>
      <c r="C18" s="1">
        <f t="shared" si="0"/>
        <v>0.02</v>
      </c>
    </row>
    <row r="19" spans="1:3">
      <c r="A19" s="56" t="s">
        <v>91</v>
      </c>
      <c r="B19">
        <v>1.3</v>
      </c>
      <c r="C19" s="1">
        <f t="shared" si="0"/>
        <v>1.3000000000000001E-2</v>
      </c>
    </row>
    <row r="20" spans="1:3">
      <c r="A20" s="56" t="s">
        <v>90</v>
      </c>
      <c r="B20">
        <v>1.5</v>
      </c>
      <c r="C20" s="1">
        <f t="shared" si="0"/>
        <v>1.4999999999999999E-2</v>
      </c>
    </row>
    <row r="21" spans="1:3">
      <c r="A21" s="56" t="s">
        <v>82</v>
      </c>
      <c r="B21">
        <v>2</v>
      </c>
      <c r="C21" s="1">
        <f t="shared" si="0"/>
        <v>0.02</v>
      </c>
    </row>
    <row r="22" spans="1:3">
      <c r="A22" s="56" t="s">
        <v>83</v>
      </c>
      <c r="B22">
        <v>2</v>
      </c>
      <c r="C22" s="1">
        <f t="shared" si="0"/>
        <v>0.02</v>
      </c>
    </row>
    <row r="23" spans="1:3">
      <c r="A23" s="56" t="s">
        <v>45</v>
      </c>
      <c r="B23">
        <v>5</v>
      </c>
      <c r="C23" s="1">
        <f t="shared" si="0"/>
        <v>0.05</v>
      </c>
    </row>
    <row r="24" spans="1:3">
      <c r="A24" s="56" t="s">
        <v>84</v>
      </c>
      <c r="B24">
        <v>2</v>
      </c>
      <c r="C24" s="1">
        <f t="shared" si="0"/>
        <v>0.02</v>
      </c>
    </row>
    <row r="25" spans="1:3">
      <c r="A25" s="56" t="s">
        <v>85</v>
      </c>
      <c r="B25">
        <v>2</v>
      </c>
      <c r="C25" s="1">
        <f t="shared" si="0"/>
        <v>0.02</v>
      </c>
    </row>
    <row r="26" spans="1:3">
      <c r="A26" s="56" t="s">
        <v>62</v>
      </c>
      <c r="B26">
        <v>3</v>
      </c>
      <c r="C26" s="1">
        <f t="shared" si="0"/>
        <v>0.03</v>
      </c>
    </row>
    <row r="27" spans="1:3">
      <c r="A27" s="56" t="s">
        <v>68</v>
      </c>
      <c r="B27">
        <v>2.5</v>
      </c>
      <c r="C27" s="1">
        <f t="shared" si="0"/>
        <v>2.5000000000000001E-2</v>
      </c>
    </row>
    <row r="28" spans="1:3">
      <c r="A28" s="56" t="s">
        <v>46</v>
      </c>
      <c r="B28">
        <v>5</v>
      </c>
      <c r="C28" s="1">
        <f t="shared" si="0"/>
        <v>0.05</v>
      </c>
    </row>
    <row r="29" spans="1:3">
      <c r="A29" s="56" t="s">
        <v>69</v>
      </c>
      <c r="B29">
        <v>2.5</v>
      </c>
      <c r="C29" s="1">
        <f t="shared" si="0"/>
        <v>2.5000000000000001E-2</v>
      </c>
    </row>
    <row r="30" spans="1:3">
      <c r="A30" s="56" t="s">
        <v>95</v>
      </c>
      <c r="B30">
        <v>1</v>
      </c>
      <c r="C30" s="1">
        <f t="shared" si="0"/>
        <v>0.01</v>
      </c>
    </row>
    <row r="31" spans="1:3">
      <c r="A31" s="56" t="s">
        <v>96</v>
      </c>
      <c r="B31">
        <v>1</v>
      </c>
      <c r="C31" s="1">
        <f t="shared" si="0"/>
        <v>0.01</v>
      </c>
    </row>
    <row r="32" spans="1:3">
      <c r="A32" s="56" t="s">
        <v>70</v>
      </c>
      <c r="B32">
        <v>2.5</v>
      </c>
      <c r="C32" s="1">
        <f t="shared" si="0"/>
        <v>2.5000000000000001E-2</v>
      </c>
    </row>
    <row r="33" spans="1:3">
      <c r="A33" s="56" t="s">
        <v>97</v>
      </c>
      <c r="B33">
        <v>1</v>
      </c>
      <c r="C33" s="1">
        <f t="shared" si="0"/>
        <v>0.01</v>
      </c>
    </row>
    <row r="34" spans="1:3">
      <c r="A34" s="56" t="s">
        <v>100</v>
      </c>
      <c r="B34">
        <v>1</v>
      </c>
      <c r="C34" s="1">
        <f t="shared" si="0"/>
        <v>0.01</v>
      </c>
    </row>
    <row r="35" spans="1:3">
      <c r="A35" s="56" t="s">
        <v>98</v>
      </c>
      <c r="B35">
        <v>1</v>
      </c>
      <c r="C35" s="1">
        <f t="shared" ref="C35:C66" si="1">B35/100</f>
        <v>0.01</v>
      </c>
    </row>
    <row r="36" spans="1:3">
      <c r="A36" s="56" t="s">
        <v>47</v>
      </c>
      <c r="B36">
        <v>5</v>
      </c>
      <c r="C36" s="1">
        <f t="shared" si="1"/>
        <v>0.05</v>
      </c>
    </row>
    <row r="37" spans="1:3">
      <c r="A37" s="56" t="s">
        <v>99</v>
      </c>
      <c r="B37">
        <v>1</v>
      </c>
      <c r="C37" s="1">
        <f t="shared" si="1"/>
        <v>0.01</v>
      </c>
    </row>
    <row r="38" spans="1:3">
      <c r="A38" s="56" t="s">
        <v>48</v>
      </c>
      <c r="B38">
        <v>5</v>
      </c>
      <c r="C38" s="1">
        <f t="shared" si="1"/>
        <v>0.05</v>
      </c>
    </row>
    <row r="39" spans="1:3">
      <c r="A39" s="56" t="s">
        <v>101</v>
      </c>
      <c r="B39">
        <v>1</v>
      </c>
      <c r="C39" s="1">
        <f t="shared" si="1"/>
        <v>0.01</v>
      </c>
    </row>
    <row r="40" spans="1:3">
      <c r="A40" s="56" t="s">
        <v>71</v>
      </c>
      <c r="B40">
        <v>2.5</v>
      </c>
      <c r="C40" s="1">
        <f t="shared" si="1"/>
        <v>2.5000000000000001E-2</v>
      </c>
    </row>
    <row r="41" spans="1:3">
      <c r="A41" s="56" t="s">
        <v>72</v>
      </c>
      <c r="B41">
        <v>2.5</v>
      </c>
      <c r="C41" s="1">
        <f t="shared" si="1"/>
        <v>2.5000000000000001E-2</v>
      </c>
    </row>
    <row r="42" spans="1:3">
      <c r="A42" s="56" t="s">
        <v>102</v>
      </c>
      <c r="B42">
        <v>1</v>
      </c>
      <c r="C42" s="1">
        <f t="shared" si="1"/>
        <v>0.01</v>
      </c>
    </row>
    <row r="43" spans="1:3">
      <c r="A43" s="56" t="s">
        <v>73</v>
      </c>
      <c r="B43">
        <v>2.5</v>
      </c>
      <c r="C43" s="1">
        <f t="shared" si="1"/>
        <v>2.5000000000000001E-2</v>
      </c>
    </row>
    <row r="44" spans="1:3">
      <c r="A44" s="56" t="s">
        <v>86</v>
      </c>
      <c r="B44">
        <v>2</v>
      </c>
      <c r="C44" s="1">
        <f t="shared" si="1"/>
        <v>0.02</v>
      </c>
    </row>
    <row r="45" spans="1:3">
      <c r="A45" s="56" t="s">
        <v>57</v>
      </c>
      <c r="B45">
        <v>4</v>
      </c>
      <c r="C45" s="1">
        <f t="shared" si="1"/>
        <v>0.04</v>
      </c>
    </row>
    <row r="46" spans="1:3">
      <c r="A46" s="56" t="s">
        <v>49</v>
      </c>
      <c r="B46">
        <v>5</v>
      </c>
      <c r="C46" s="1">
        <f t="shared" si="1"/>
        <v>0.05</v>
      </c>
    </row>
    <row r="47" spans="1:3">
      <c r="A47" s="56" t="s">
        <v>87</v>
      </c>
      <c r="B47">
        <v>2</v>
      </c>
      <c r="C47" s="1">
        <f t="shared" si="1"/>
        <v>0.02</v>
      </c>
    </row>
    <row r="48" spans="1:3">
      <c r="A48" s="56" t="s">
        <v>103</v>
      </c>
      <c r="B48">
        <v>1</v>
      </c>
      <c r="C48" s="1">
        <f t="shared" si="1"/>
        <v>0.01</v>
      </c>
    </row>
    <row r="49" spans="1:3">
      <c r="A49" s="56" t="s">
        <v>88</v>
      </c>
      <c r="B49">
        <v>2</v>
      </c>
      <c r="C49" s="1">
        <f t="shared" si="1"/>
        <v>0.02</v>
      </c>
    </row>
    <row r="50" spans="1:3">
      <c r="A50" s="56" t="s">
        <v>74</v>
      </c>
      <c r="B50">
        <v>2.5</v>
      </c>
      <c r="C50" s="1">
        <f t="shared" si="1"/>
        <v>2.5000000000000001E-2</v>
      </c>
    </row>
    <row r="51" spans="1:3">
      <c r="A51" s="56" t="s">
        <v>75</v>
      </c>
      <c r="B51">
        <v>2.5</v>
      </c>
      <c r="C51" s="1">
        <f t="shared" si="1"/>
        <v>2.5000000000000001E-2</v>
      </c>
    </row>
    <row r="52" spans="1:3">
      <c r="A52" s="56" t="s">
        <v>63</v>
      </c>
      <c r="B52">
        <v>3</v>
      </c>
      <c r="C52" s="1">
        <f t="shared" si="1"/>
        <v>0.03</v>
      </c>
    </row>
    <row r="53" spans="1:3">
      <c r="A53" s="56" t="s">
        <v>50</v>
      </c>
      <c r="B53">
        <v>5</v>
      </c>
      <c r="C53" s="1">
        <f t="shared" si="1"/>
        <v>0.05</v>
      </c>
    </row>
    <row r="54" spans="1:3">
      <c r="A54" s="56" t="s">
        <v>104</v>
      </c>
      <c r="B54">
        <v>1</v>
      </c>
      <c r="C54" s="1">
        <f t="shared" si="1"/>
        <v>0.01</v>
      </c>
    </row>
    <row r="55" spans="1:3">
      <c r="A55" s="56" t="s">
        <v>51</v>
      </c>
      <c r="B55">
        <v>5</v>
      </c>
      <c r="C55" s="1">
        <f t="shared" si="1"/>
        <v>0.05</v>
      </c>
    </row>
    <row r="56" spans="1:3">
      <c r="A56" s="56" t="s">
        <v>105</v>
      </c>
      <c r="B56">
        <v>1</v>
      </c>
      <c r="C56" s="1">
        <f t="shared" si="1"/>
        <v>0.01</v>
      </c>
    </row>
    <row r="57" spans="1:3">
      <c r="A57" s="56" t="s">
        <v>52</v>
      </c>
      <c r="B57">
        <v>5</v>
      </c>
      <c r="C57" s="1">
        <f t="shared" si="1"/>
        <v>0.05</v>
      </c>
    </row>
    <row r="58" spans="1:3">
      <c r="A58" s="56" t="s">
        <v>53</v>
      </c>
      <c r="B58">
        <v>5</v>
      </c>
      <c r="C58" s="1">
        <f t="shared" si="1"/>
        <v>0.05</v>
      </c>
    </row>
    <row r="59" spans="1:3">
      <c r="A59" s="56" t="s">
        <v>106</v>
      </c>
      <c r="B59">
        <v>1</v>
      </c>
      <c r="C59" s="1">
        <f t="shared" si="1"/>
        <v>0.01</v>
      </c>
    </row>
    <row r="60" spans="1:3">
      <c r="A60" s="56" t="s">
        <v>56</v>
      </c>
      <c r="B60">
        <v>5</v>
      </c>
      <c r="C60" s="1">
        <f t="shared" si="1"/>
        <v>0.05</v>
      </c>
    </row>
    <row r="61" spans="1:3">
      <c r="A61" s="56" t="s">
        <v>107</v>
      </c>
      <c r="B61">
        <v>1</v>
      </c>
      <c r="C61" s="1">
        <f t="shared" si="1"/>
        <v>0.01</v>
      </c>
    </row>
    <row r="62" spans="1:3">
      <c r="A62" s="56" t="s">
        <v>58</v>
      </c>
      <c r="B62">
        <v>3.5</v>
      </c>
      <c r="C62" s="1">
        <f t="shared" si="1"/>
        <v>3.5000000000000003E-2</v>
      </c>
    </row>
    <row r="63" spans="1:3">
      <c r="A63" s="56" t="s">
        <v>76</v>
      </c>
      <c r="B63">
        <v>2.5</v>
      </c>
      <c r="C63" s="1">
        <f t="shared" si="1"/>
        <v>2.5000000000000001E-2</v>
      </c>
    </row>
    <row r="64" spans="1:3">
      <c r="A64" s="56" t="s">
        <v>77</v>
      </c>
      <c r="B64">
        <v>2.5</v>
      </c>
      <c r="C64" s="1">
        <f t="shared" si="1"/>
        <v>2.5000000000000001E-2</v>
      </c>
    </row>
    <row r="65" spans="1:3">
      <c r="A65" s="56" t="s">
        <v>108</v>
      </c>
      <c r="B65">
        <v>1</v>
      </c>
      <c r="C65" s="1">
        <f t="shared" si="1"/>
        <v>0.01</v>
      </c>
    </row>
    <row r="66" spans="1:3">
      <c r="A66" s="56" t="s">
        <v>54</v>
      </c>
      <c r="B66">
        <v>5</v>
      </c>
      <c r="C66" s="1">
        <f t="shared" si="1"/>
        <v>0.05</v>
      </c>
    </row>
    <row r="67" spans="1:3">
      <c r="A67" s="56" t="s">
        <v>78</v>
      </c>
      <c r="B67">
        <v>2.5</v>
      </c>
      <c r="C67" s="1">
        <f t="shared" ref="C67:C74" si="2">B67/100</f>
        <v>2.5000000000000001E-2</v>
      </c>
    </row>
    <row r="68" spans="1:3">
      <c r="A68" s="56" t="s">
        <v>64</v>
      </c>
      <c r="B68">
        <v>3</v>
      </c>
      <c r="C68" s="1">
        <f t="shared" si="2"/>
        <v>0.03</v>
      </c>
    </row>
    <row r="69" spans="1:3">
      <c r="A69" s="56" t="s">
        <v>55</v>
      </c>
      <c r="B69">
        <v>5</v>
      </c>
      <c r="C69" s="1">
        <f t="shared" si="2"/>
        <v>0.05</v>
      </c>
    </row>
    <row r="70" spans="1:3">
      <c r="A70" s="56" t="s">
        <v>113</v>
      </c>
      <c r="B70">
        <v>0.5</v>
      </c>
      <c r="C70" s="1">
        <f t="shared" si="2"/>
        <v>5.0000000000000001E-3</v>
      </c>
    </row>
    <row r="71" spans="1:3">
      <c r="A71" s="56" t="s">
        <v>89</v>
      </c>
      <c r="B71">
        <v>2</v>
      </c>
      <c r="C71" s="1">
        <f t="shared" si="2"/>
        <v>0.02</v>
      </c>
    </row>
    <row r="72" spans="1:3">
      <c r="A72" s="56" t="s">
        <v>109</v>
      </c>
      <c r="B72">
        <v>1</v>
      </c>
      <c r="C72" s="1">
        <f t="shared" si="2"/>
        <v>0.01</v>
      </c>
    </row>
    <row r="73" spans="1:3">
      <c r="A73" s="56" t="s">
        <v>79</v>
      </c>
      <c r="B73">
        <v>2.5</v>
      </c>
      <c r="C73" s="1">
        <f t="shared" si="2"/>
        <v>2.5000000000000001E-2</v>
      </c>
    </row>
    <row r="74" spans="1:3">
      <c r="A74" s="56" t="s">
        <v>110</v>
      </c>
      <c r="B74">
        <v>1</v>
      </c>
      <c r="C74" s="1">
        <f t="shared" si="2"/>
        <v>0.01</v>
      </c>
    </row>
  </sheetData>
  <autoFilter ref="A1:C1">
    <sortState ref="A2:C73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Opções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Araújo</dc:creator>
  <cp:lastModifiedBy>marcoara</cp:lastModifiedBy>
  <dcterms:created xsi:type="dcterms:W3CDTF">2012-10-11T19:12:02Z</dcterms:created>
  <dcterms:modified xsi:type="dcterms:W3CDTF">2014-10-24T10:45:18Z</dcterms:modified>
</cp:coreProperties>
</file>