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data\marcoara\Desktop\"/>
    </mc:Choice>
  </mc:AlternateContent>
  <workbookProtection workbookAlgorithmName="SHA-512" workbookHashValue="3lkpRdeISDluut9NU0TWySmkhTEdN+RmkkgmtYUoTYbgktEZHFHucobiLM7OZtFNpx2rsR1J54yvTpdAo7tFZw==" workbookSaltValue="GFpul6xAXUyWrpZcoOs6sw==" workbookSpinCount="100000" lockStructure="1"/>
  <bookViews>
    <workbookView xWindow="0" yWindow="0" windowWidth="24000" windowHeight="9735" firstSheet="1" activeTab="1"/>
  </bookViews>
  <sheets>
    <sheet name="Aux" sheetId="8" state="hidden" r:id="rId1"/>
    <sheet name="Inputs" sheetId="9" r:id="rId2"/>
    <sheet name="Consumo" sheetId="1" r:id="rId3"/>
    <sheet name="Eolica" sheetId="5" r:id="rId4"/>
    <sheet name="Pagamentos" sheetId="6" r:id="rId5"/>
    <sheet name="Retorno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9" l="1"/>
  <c r="N2" i="8"/>
  <c r="I3" i="8"/>
  <c r="M2" i="8"/>
  <c r="L2" i="8"/>
  <c r="K2" i="8"/>
  <c r="A21" i="8"/>
  <c r="B21" i="8"/>
  <c r="C21" i="8"/>
  <c r="E22" i="1"/>
  <c r="B22" i="7"/>
  <c r="B21" i="7"/>
  <c r="B18" i="7"/>
  <c r="B19" i="7"/>
  <c r="B20" i="7"/>
  <c r="C5" i="7"/>
  <c r="C6" i="7" s="1"/>
  <c r="C7" i="7" s="1"/>
  <c r="C8" i="7" s="1"/>
  <c r="C9" i="7" s="1"/>
  <c r="E27" i="8"/>
  <c r="D27" i="8"/>
  <c r="C27" i="8"/>
  <c r="B27" i="8"/>
  <c r="A18" i="8"/>
  <c r="B18" i="8"/>
  <c r="A19" i="8"/>
  <c r="B19" i="8"/>
  <c r="A4" i="8"/>
  <c r="B4" i="8"/>
  <c r="A5" i="8"/>
  <c r="B5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A22" i="7"/>
  <c r="A21" i="7"/>
  <c r="A20" i="7"/>
  <c r="A19" i="7"/>
  <c r="A18" i="7"/>
  <c r="A17" i="7"/>
  <c r="A16" i="7"/>
  <c r="A15" i="7"/>
  <c r="A14" i="7"/>
  <c r="A13" i="7"/>
  <c r="A12" i="7"/>
  <c r="A10" i="7"/>
  <c r="A8" i="7"/>
  <c r="A7" i="7"/>
  <c r="B6" i="7"/>
  <c r="I4" i="8" s="1"/>
  <c r="A6" i="7"/>
  <c r="A5" i="7"/>
  <c r="C14" i="6"/>
  <c r="C10" i="6"/>
  <c r="C9" i="6"/>
  <c r="D24" i="5"/>
  <c r="G24" i="5" s="1"/>
  <c r="F23" i="5"/>
  <c r="D23" i="5"/>
  <c r="F22" i="5"/>
  <c r="D22" i="5"/>
  <c r="F21" i="5"/>
  <c r="D21" i="5"/>
  <c r="F20" i="5"/>
  <c r="D20" i="5"/>
  <c r="F23" i="1" s="1"/>
  <c r="G21" i="5" l="1"/>
  <c r="G23" i="5"/>
  <c r="G22" i="5"/>
  <c r="C10" i="7"/>
  <c r="A9" i="7"/>
  <c r="B7" i="7"/>
  <c r="I5" i="8" s="1"/>
  <c r="A11" i="7"/>
  <c r="G20" i="5"/>
  <c r="C11" i="7" l="1"/>
  <c r="E23" i="1"/>
  <c r="C12" i="7"/>
  <c r="B8" i="7"/>
  <c r="I6" i="8" s="1"/>
  <c r="H10" i="7" l="1"/>
  <c r="H5" i="7"/>
  <c r="I5" i="7" s="1"/>
  <c r="M3" i="8" s="1"/>
  <c r="H8" i="7"/>
  <c r="H12" i="7"/>
  <c r="H7" i="7"/>
  <c r="H11" i="7"/>
  <c r="H9" i="7"/>
  <c r="H6" i="7"/>
  <c r="B9" i="7"/>
  <c r="I7" i="8" s="1"/>
  <c r="C13" i="7"/>
  <c r="I6" i="7" l="1"/>
  <c r="M4" i="8" s="1"/>
  <c r="H13" i="7"/>
  <c r="B10" i="7"/>
  <c r="I8" i="8" s="1"/>
  <c r="I7" i="7"/>
  <c r="M5" i="8" s="1"/>
  <c r="B17" i="5"/>
  <c r="B11" i="7" l="1"/>
  <c r="I9" i="8" s="1"/>
  <c r="I8" i="7"/>
  <c r="M6" i="8" s="1"/>
  <c r="I9" i="7" l="1"/>
  <c r="M7" i="8" s="1"/>
  <c r="B12" i="7"/>
  <c r="I10" i="8" s="1"/>
  <c r="D17" i="5"/>
  <c r="B13" i="7" l="1"/>
  <c r="I11" i="8" s="1"/>
  <c r="I10" i="7"/>
  <c r="M8" i="8" s="1"/>
  <c r="E17" i="5"/>
  <c r="I11" i="7" l="1"/>
  <c r="B27" i="7" l="1"/>
  <c r="M9" i="8"/>
  <c r="I12" i="7"/>
  <c r="M10" i="8" s="1"/>
  <c r="F17" i="5"/>
  <c r="I13" i="7" l="1"/>
  <c r="M11" i="8" s="1"/>
  <c r="G8" i="1" l="1"/>
  <c r="E24" i="1"/>
  <c r="D9" i="7" l="1"/>
  <c r="D7" i="7"/>
  <c r="D5" i="7"/>
  <c r="E5" i="7" s="1"/>
  <c r="D8" i="7"/>
  <c r="D6" i="7"/>
  <c r="D10" i="7"/>
  <c r="D12" i="7"/>
  <c r="D11" i="7"/>
  <c r="D13" i="7"/>
  <c r="K3" i="8" l="1"/>
  <c r="E6" i="7"/>
  <c r="D15" i="1"/>
  <c r="E15" i="1" s="1"/>
  <c r="K4" i="8" l="1"/>
  <c r="E7" i="7"/>
  <c r="B14" i="8"/>
  <c r="A14" i="8"/>
  <c r="D16" i="1"/>
  <c r="D17" i="1"/>
  <c r="D21" i="1"/>
  <c r="E21" i="1" s="1"/>
  <c r="E10" i="1"/>
  <c r="E7" i="1"/>
  <c r="D14" i="1"/>
  <c r="D13" i="1"/>
  <c r="D12" i="1"/>
  <c r="D11" i="1"/>
  <c r="D19" i="1"/>
  <c r="D20" i="1"/>
  <c r="K5" i="8" l="1"/>
  <c r="E8" i="7"/>
  <c r="A20" i="8"/>
  <c r="B20" i="8"/>
  <c r="B6" i="8"/>
  <c r="A6" i="8"/>
  <c r="A9" i="8"/>
  <c r="B9" i="8"/>
  <c r="D23" i="1"/>
  <c r="K6" i="8" l="1"/>
  <c r="E9" i="7"/>
  <c r="D24" i="1"/>
  <c r="E4" i="1"/>
  <c r="E18" i="1"/>
  <c r="E17" i="1"/>
  <c r="E16" i="1"/>
  <c r="E14" i="1"/>
  <c r="E13" i="1"/>
  <c r="E11" i="1"/>
  <c r="E12" i="1"/>
  <c r="D10" i="1"/>
  <c r="E9" i="1"/>
  <c r="E8" i="1"/>
  <c r="F6" i="6" l="1"/>
  <c r="F8" i="6" s="1"/>
  <c r="J6" i="6"/>
  <c r="C6" i="6"/>
  <c r="C8" i="6" s="1"/>
  <c r="G6" i="6"/>
  <c r="G8" i="6" s="1"/>
  <c r="E6" i="6"/>
  <c r="E8" i="6" s="1"/>
  <c r="I6" i="6"/>
  <c r="I8" i="6" s="1"/>
  <c r="D6" i="6"/>
  <c r="D8" i="6" s="1"/>
  <c r="H6" i="6"/>
  <c r="H8" i="6" s="1"/>
  <c r="K7" i="8"/>
  <c r="E10" i="7"/>
  <c r="A11" i="8"/>
  <c r="B11" i="8"/>
  <c r="A7" i="8"/>
  <c r="B7" i="8"/>
  <c r="B10" i="8"/>
  <c r="A10" i="8"/>
  <c r="A16" i="8"/>
  <c r="B16" i="8"/>
  <c r="B8" i="8"/>
  <c r="A8" i="8"/>
  <c r="B12" i="8"/>
  <c r="A12" i="8"/>
  <c r="B17" i="8"/>
  <c r="A17" i="8"/>
  <c r="A13" i="8"/>
  <c r="B13" i="8"/>
  <c r="A3" i="8"/>
  <c r="A23" i="8" s="1"/>
  <c r="B3" i="8"/>
  <c r="B15" i="8"/>
  <c r="A15" i="8"/>
  <c r="G11" i="6" l="1"/>
  <c r="G13" i="6"/>
  <c r="G15" i="6" s="1"/>
  <c r="D11" i="6"/>
  <c r="D13" i="6"/>
  <c r="D15" i="6" s="1"/>
  <c r="K8" i="8"/>
  <c r="E11" i="7"/>
  <c r="I13" i="6"/>
  <c r="I15" i="6" s="1"/>
  <c r="I11" i="6"/>
  <c r="F5" i="7"/>
  <c r="G5" i="7" s="1"/>
  <c r="F6" i="7"/>
  <c r="F9" i="7"/>
  <c r="F7" i="7"/>
  <c r="F8" i="7"/>
  <c r="F10" i="7"/>
  <c r="J8" i="6"/>
  <c r="F12" i="7"/>
  <c r="F11" i="7"/>
  <c r="J7" i="7"/>
  <c r="J5" i="7"/>
  <c r="K5" i="7" s="1"/>
  <c r="J13" i="7"/>
  <c r="B31" i="7" s="1"/>
  <c r="J8" i="7"/>
  <c r="J10" i="7"/>
  <c r="J6" i="7"/>
  <c r="J12" i="7"/>
  <c r="F13" i="7"/>
  <c r="J11" i="7"/>
  <c r="J9" i="7"/>
  <c r="H13" i="6"/>
  <c r="H15" i="6" s="1"/>
  <c r="D29" i="8" s="1"/>
  <c r="H11" i="6"/>
  <c r="D28" i="8" s="1"/>
  <c r="C13" i="6"/>
  <c r="C15" i="6" s="1"/>
  <c r="B29" i="8" s="1"/>
  <c r="C11" i="6"/>
  <c r="B28" i="8" s="1"/>
  <c r="B23" i="8"/>
  <c r="E11" i="6"/>
  <c r="E13" i="6"/>
  <c r="E15" i="6" s="1"/>
  <c r="F13" i="6"/>
  <c r="F15" i="6" s="1"/>
  <c r="C29" i="8" s="1"/>
  <c r="F11" i="6"/>
  <c r="C28" i="8" s="1"/>
  <c r="N3" i="8" l="1"/>
  <c r="K6" i="7"/>
  <c r="J13" i="6"/>
  <c r="J15" i="6" s="1"/>
  <c r="E29" i="8" s="1"/>
  <c r="J11" i="6"/>
  <c r="E28" i="8" s="1"/>
  <c r="K9" i="8"/>
  <c r="E12" i="7"/>
  <c r="L3" i="8"/>
  <c r="G6" i="7"/>
  <c r="K10" i="8" l="1"/>
  <c r="E13" i="7"/>
  <c r="K11" i="8" s="1"/>
  <c r="B28" i="7"/>
  <c r="L4" i="8"/>
  <c r="G7" i="7"/>
  <c r="N4" i="8"/>
  <c r="K7" i="7"/>
  <c r="N5" i="8" l="1"/>
  <c r="K8" i="7"/>
  <c r="L5" i="8"/>
  <c r="G8" i="7"/>
  <c r="B29" i="7"/>
  <c r="N6" i="8" l="1"/>
  <c r="K9" i="7"/>
  <c r="L6" i="8"/>
  <c r="G9" i="7"/>
  <c r="L7" i="8" l="1"/>
  <c r="G10" i="7"/>
  <c r="N7" i="8"/>
  <c r="K10" i="7"/>
  <c r="B30" i="7"/>
  <c r="L8" i="8" l="1"/>
  <c r="G11" i="7"/>
  <c r="N8" i="8"/>
  <c r="K11" i="7"/>
  <c r="N9" i="8" l="1"/>
  <c r="K12" i="7"/>
  <c r="L9" i="8"/>
  <c r="G12" i="7"/>
  <c r="L10" i="8" l="1"/>
  <c r="G13" i="7"/>
  <c r="L11" i="8" s="1"/>
  <c r="N10" i="8"/>
  <c r="K13" i="7"/>
  <c r="N11" i="8" s="1"/>
</calcChain>
</file>

<file path=xl/sharedStrings.xml><?xml version="1.0" encoding="utf-8"?>
<sst xmlns="http://schemas.openxmlformats.org/spreadsheetml/2006/main" count="124" uniqueCount="98">
  <si>
    <t>Frigorifico</t>
  </si>
  <si>
    <t>kWh/ano</t>
  </si>
  <si>
    <t>kWh/ciclo</t>
  </si>
  <si>
    <t>Computador</t>
  </si>
  <si>
    <t>Televisão</t>
  </si>
  <si>
    <t>Box</t>
  </si>
  <si>
    <t>Router</t>
  </si>
  <si>
    <t>M. secar</t>
  </si>
  <si>
    <t>M. L. roupa</t>
  </si>
  <si>
    <t>M. loiça</t>
  </si>
  <si>
    <t>Bomba rega</t>
  </si>
  <si>
    <t>Recuperador calor</t>
  </si>
  <si>
    <t>Exaustor</t>
  </si>
  <si>
    <t>Forno</t>
  </si>
  <si>
    <t>M. Café</t>
  </si>
  <si>
    <t>Aspirador</t>
  </si>
  <si>
    <t>Ciclos/ano</t>
  </si>
  <si>
    <t>Placa indução</t>
  </si>
  <si>
    <t>Bomba calor AQS</t>
  </si>
  <si>
    <t>€/kWh (c/ IVA)</t>
  </si>
  <si>
    <t>Total kWh/ano</t>
  </si>
  <si>
    <t>Total kWh/mês</t>
  </si>
  <si>
    <t>€ 6.9kVA quadro (c/IVA)</t>
  </si>
  <si>
    <t>Desconto Tarifa Social (s/IVA)</t>
  </si>
  <si>
    <t>Desconto ASECE (s/IVA)</t>
  </si>
  <si>
    <t>€/mês (incluí Audiovisual)</t>
  </si>
  <si>
    <t>Ano</t>
  </si>
  <si>
    <t>Poupança obtida</t>
  </si>
  <si>
    <t>Investimento - Poupança</t>
  </si>
  <si>
    <t>Assume-se:</t>
  </si>
  <si>
    <t xml:space="preserve">    ∙ Aumento anual de 2,3% no custo da energia</t>
  </si>
  <si>
    <t>€/kWh (c/IVA)</t>
  </si>
  <si>
    <t>Lâmpadas LED</t>
  </si>
  <si>
    <t>Concluí-se:</t>
  </si>
  <si>
    <t>Bomba de calor AQS</t>
  </si>
  <si>
    <t>€/ mês com descontos (c/IVA)</t>
  </si>
  <si>
    <t>COP BC AQS c/ temperatura ambiente = 7 ºC</t>
  </si>
  <si>
    <t>Custo do investimento da BC AQS c/ IVA e instalação</t>
  </si>
  <si>
    <t>Custo do investimento dos paineis c/ IVA e instalação</t>
  </si>
  <si>
    <t>Capacidade do depósito de AQS em litros</t>
  </si>
  <si>
    <t>Horas/dia</t>
  </si>
  <si>
    <t>Não aplicável</t>
  </si>
  <si>
    <t>Tarifa normal</t>
  </si>
  <si>
    <t>Tarifa social</t>
  </si>
  <si>
    <t>Desumidificador</t>
  </si>
  <si>
    <t>Inverno</t>
  </si>
  <si>
    <t>Verão</t>
  </si>
  <si>
    <r>
      <t xml:space="preserve">Instruções: preencher apenas as células com o rebordo vermelho.
</t>
    </r>
    <r>
      <rPr>
        <i/>
        <sz val="11"/>
        <color theme="1"/>
        <rFont val="Calibri"/>
        <family val="2"/>
      </rPr>
      <t>© Marco Araújo ( marco.araujo@ua.pt )</t>
    </r>
  </si>
  <si>
    <t>Potência eólica instalada (Watts)</t>
  </si>
  <si>
    <t>Potência solar instalada (Watts)</t>
  </si>
  <si>
    <t>Custo do investimento do aerogerador c/ IVA e instalação</t>
  </si>
  <si>
    <t>Vento - número de dias com x Beaufort (Bft)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</si>
  <si>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</si>
  <si>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</si>
  <si>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</si>
  <si>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</si>
  <si>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</si>
  <si>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</si>
  <si>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</si>
  <si>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</si>
  <si>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</si>
  <si>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</si>
  <si>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</si>
  <si>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</si>
  <si>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</si>
  <si>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Estísticas de vento obtidas no endereço http://www.windguru.cz/pt/historie_statsw.php?model=gfs</t>
  </si>
  <si>
    <t>Wh_dia / Wp: total de Wh gerados em 24 horas por cada Watt de potência instalada</t>
  </si>
  <si>
    <t>10,8 a 13,8</t>
  </si>
  <si>
    <t>8 a 10,7</t>
  </si>
  <si>
    <t>5,5 a 7,9</t>
  </si>
  <si>
    <t>3,4 a 5,4</t>
  </si>
  <si>
    <t>1,6 a 3,3</t>
  </si>
  <si>
    <t>Wh_dia/Wp
(condições óptimas)</t>
  </si>
  <si>
    <t>Wh_dia/Wp
(condições reais)</t>
  </si>
  <si>
    <t>#_dias
x
Wh_dia/Wp</t>
  </si>
  <si>
    <t>Em condições óptimas há vento 24h/dia e em condições reais durante 40% do tempo não ocorre vento</t>
  </si>
  <si>
    <t>Velocidade do vento (m/s)</t>
  </si>
  <si>
    <t>Número de ocorrências (dias)</t>
  </si>
  <si>
    <t>Escala de Beaufort (Bft)</t>
  </si>
  <si>
    <t>Autoconsumo solar</t>
  </si>
  <si>
    <t>Autoconsumo eólico</t>
  </si>
  <si>
    <t xml:space="preserve">    ∙ Energia eólica não consumida (injectada na rede): 27%</t>
  </si>
  <si>
    <t xml:space="preserve">    ∙ Energia solar não consumida (injectada na rede): 18%</t>
  </si>
  <si>
    <t>Aerogerador</t>
  </si>
  <si>
    <t>Aerogerador + Paineis + BC AQS</t>
  </si>
  <si>
    <t>Com BC AQS</t>
  </si>
  <si>
    <t>Com paineis</t>
  </si>
  <si>
    <t>Sem energias renovaveis</t>
  </si>
  <si>
    <t>Com aerogerador</t>
  </si>
  <si>
    <t>Com paineis e aerogerador</t>
  </si>
  <si>
    <t>Com paineis, aerogerador e BC AQS</t>
  </si>
  <si>
    <t>Com paineis e BC AQS</t>
  </si>
  <si>
    <t>Com BC AQS e aerogerador</t>
  </si>
  <si>
    <t>Paineis fotovoltaicos</t>
  </si>
  <si>
    <t>Inverno/Verão</t>
  </si>
  <si>
    <t>Consumo (kWh/semana)</t>
  </si>
  <si>
    <t>© Marco Araújo ( marco.araujo@ua.pt )</t>
  </si>
  <si>
    <t>Outros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</si>
</sst>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"/>
    <numFmt numFmtId="165" formatCode="0.000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/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thin">
        <color auto="1"/>
      </right>
      <top style="double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hair">
        <color rgb="FFFF0000"/>
      </bottom>
      <diagonal/>
    </border>
    <border>
      <left style="medium">
        <color rgb="FFFF0000"/>
      </left>
      <right style="medium">
        <color rgb="FFFF0000"/>
      </right>
      <top style="hair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/>
      <bottom style="double">
        <color auto="1"/>
      </bottom>
      <diagonal/>
    </border>
    <border>
      <left style="medium">
        <color rgb="FFFF0000"/>
      </left>
      <right style="medium">
        <color rgb="FFFF0000"/>
      </right>
      <top/>
      <bottom style="hair">
        <color rgb="FFFF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hair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hair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hair">
        <color rgb="FFFF0000"/>
      </bottom>
      <diagonal/>
    </border>
    <border>
      <left style="medium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rgb="FFFF0000"/>
      </left>
      <right style="medium">
        <color rgb="FFFF0000"/>
      </right>
      <top style="hair">
        <color rgb="FFFF0000"/>
      </top>
      <bottom style="hair">
        <color rgb="FFFF0000"/>
      </bottom>
      <diagonal/>
    </border>
    <border>
      <left style="medium">
        <color rgb="FFFF0000"/>
      </left>
      <right style="thin">
        <color rgb="FFFF0000"/>
      </right>
      <top style="hair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hair">
        <color rgb="FFFF0000"/>
      </top>
      <bottom style="medium">
        <color rgb="FFFF0000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hair">
        <color auto="1"/>
      </bottom>
      <diagonal/>
    </border>
    <border>
      <left/>
      <right/>
      <top style="double">
        <color theme="1"/>
      </top>
      <bottom style="medium">
        <color rgb="FFFF0000"/>
      </bottom>
      <diagonal/>
    </border>
    <border>
      <left style="thin">
        <color theme="1"/>
      </left>
      <right/>
      <top style="hair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rgb="FFFF0000"/>
      </bottom>
      <diagonal/>
    </border>
    <border>
      <left style="thick">
        <color auto="1"/>
      </left>
      <right style="medium">
        <color rgb="FFFF0000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medium">
        <color rgb="FFFF0000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rgb="FFFF0000"/>
      </right>
      <top style="hair">
        <color auto="1"/>
      </top>
      <bottom style="hair">
        <color rgb="FFFF0000"/>
      </bottom>
      <diagonal/>
    </border>
    <border>
      <left style="thick">
        <color auto="1"/>
      </left>
      <right style="medium">
        <color rgb="FFFF0000"/>
      </right>
      <top/>
      <bottom style="thick">
        <color auto="1"/>
      </bottom>
      <diagonal/>
    </border>
    <border>
      <left style="medium">
        <color rgb="FFFF0000"/>
      </left>
      <right style="thin">
        <color rgb="FFFF0000"/>
      </right>
      <top style="hair">
        <color rgb="FFFF0000"/>
      </top>
      <bottom/>
      <diagonal/>
    </border>
    <border>
      <left style="thin">
        <color rgb="FFFF0000"/>
      </left>
      <right style="medium">
        <color rgb="FFFF0000"/>
      </right>
      <top style="hair">
        <color rgb="FFFF0000"/>
      </top>
      <bottom/>
      <diagonal/>
    </border>
    <border>
      <left style="thin">
        <color theme="1"/>
      </left>
      <right/>
      <top/>
      <bottom style="hair">
        <color theme="1"/>
      </bottom>
      <diagonal/>
    </border>
    <border>
      <left style="thin">
        <color theme="1"/>
      </left>
      <right style="medium">
        <color rgb="FFFF0000"/>
      </right>
      <top style="medium">
        <color rgb="FFFF0000"/>
      </top>
      <bottom style="hair">
        <color theme="1"/>
      </bottom>
      <diagonal/>
    </border>
    <border>
      <left style="medium">
        <color rgb="FFFF0000"/>
      </left>
      <right style="thin">
        <color auto="1"/>
      </right>
      <top style="hair">
        <color rgb="FFFF0000"/>
      </top>
      <bottom style="hair">
        <color rgb="FFFF0000"/>
      </bottom>
      <diagonal/>
    </border>
    <border>
      <left/>
      <right style="thick">
        <color auto="1"/>
      </right>
      <top/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3">
    <xf numFmtId="0" fontId="0" fillId="0" borderId="0" xfId="0"/>
    <xf numFmtId="4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1" fontId="0" fillId="0" borderId="11" xfId="0" applyNumberFormat="1" applyBorder="1"/>
    <xf numFmtId="0" fontId="0" fillId="0" borderId="12" xfId="0" applyBorder="1"/>
    <xf numFmtId="44" fontId="0" fillId="0" borderId="11" xfId="0" applyNumberFormat="1" applyBorder="1"/>
    <xf numFmtId="0" fontId="0" fillId="0" borderId="13" xfId="0" applyBorder="1"/>
    <xf numFmtId="0" fontId="0" fillId="0" borderId="14" xfId="0" applyBorder="1"/>
    <xf numFmtId="44" fontId="0" fillId="0" borderId="15" xfId="1" applyFont="1" applyBorder="1"/>
    <xf numFmtId="44" fontId="0" fillId="0" borderId="16" xfId="0" applyNumberFormat="1" applyBorder="1"/>
    <xf numFmtId="44" fontId="0" fillId="0" borderId="17" xfId="1" applyFont="1" applyBorder="1"/>
    <xf numFmtId="44" fontId="0" fillId="0" borderId="18" xfId="0" applyNumberFormat="1" applyBorder="1"/>
    <xf numFmtId="44" fontId="0" fillId="0" borderId="19" xfId="1" applyFont="1" applyBorder="1"/>
    <xf numFmtId="44" fontId="0" fillId="0" borderId="20" xfId="0" applyNumberFormat="1" applyBorder="1"/>
    <xf numFmtId="0" fontId="0" fillId="0" borderId="0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1" fontId="0" fillId="0" borderId="11" xfId="0" applyNumberFormat="1" applyBorder="1" applyAlignment="1">
      <alignment horizontal="center"/>
    </xf>
    <xf numFmtId="1" fontId="0" fillId="0" borderId="5" xfId="0" applyNumberFormat="1" applyBorder="1"/>
    <xf numFmtId="44" fontId="0" fillId="0" borderId="11" xfId="1" applyFont="1" applyBorder="1" applyAlignment="1">
      <alignment horizontal="right"/>
    </xf>
    <xf numFmtId="0" fontId="0" fillId="0" borderId="27" xfId="0" applyBorder="1"/>
    <xf numFmtId="0" fontId="0" fillId="0" borderId="28" xfId="0" applyBorder="1"/>
    <xf numFmtId="1" fontId="0" fillId="0" borderId="24" xfId="0" applyNumberFormat="1" applyBorder="1" applyAlignment="1">
      <alignment horizontal="center"/>
    </xf>
    <xf numFmtId="1" fontId="0" fillId="0" borderId="28" xfId="0" applyNumberFormat="1" applyBorder="1"/>
    <xf numFmtId="44" fontId="0" fillId="0" borderId="24" xfId="1" applyFont="1" applyBorder="1" applyAlignment="1">
      <alignment horizontal="right"/>
    </xf>
    <xf numFmtId="44" fontId="0" fillId="0" borderId="24" xfId="0" applyNumberFormat="1" applyBorder="1"/>
    <xf numFmtId="1" fontId="0" fillId="0" borderId="30" xfId="0" applyNumberFormat="1" applyBorder="1"/>
    <xf numFmtId="164" fontId="0" fillId="0" borderId="0" xfId="0" applyNumberFormat="1" applyBorder="1"/>
    <xf numFmtId="1" fontId="0" fillId="0" borderId="0" xfId="0" applyNumberFormat="1" applyBorder="1"/>
    <xf numFmtId="165" fontId="0" fillId="0" borderId="6" xfId="0" applyNumberFormat="1" applyBorder="1"/>
    <xf numFmtId="165" fontId="0" fillId="0" borderId="9" xfId="0" applyNumberFormat="1" applyBorder="1"/>
    <xf numFmtId="0" fontId="0" fillId="0" borderId="30" xfId="0" applyBorder="1"/>
    <xf numFmtId="1" fontId="0" fillId="0" borderId="24" xfId="0" applyNumberFormat="1" applyBorder="1"/>
    <xf numFmtId="0" fontId="2" fillId="0" borderId="0" xfId="0" applyFont="1"/>
    <xf numFmtId="44" fontId="2" fillId="0" borderId="0" xfId="0" applyNumberFormat="1" applyFont="1"/>
    <xf numFmtId="44" fontId="2" fillId="0" borderId="0" xfId="1" applyFont="1"/>
    <xf numFmtId="0" fontId="0" fillId="0" borderId="39" xfId="0" applyBorder="1"/>
    <xf numFmtId="0" fontId="0" fillId="0" borderId="40" xfId="0" applyBorder="1"/>
    <xf numFmtId="2" fontId="0" fillId="0" borderId="43" xfId="0" applyNumberFormat="1" applyBorder="1" applyProtection="1">
      <protection locked="0"/>
    </xf>
    <xf numFmtId="2" fontId="0" fillId="0" borderId="44" xfId="0" applyNumberFormat="1" applyBorder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44" fontId="0" fillId="0" borderId="44" xfId="1" applyFont="1" applyFill="1" applyBorder="1" applyProtection="1">
      <protection locked="0"/>
    </xf>
    <xf numFmtId="0" fontId="0" fillId="0" borderId="45" xfId="0" applyBorder="1" applyProtection="1">
      <protection locked="0"/>
    </xf>
    <xf numFmtId="0" fontId="0" fillId="0" borderId="45" xfId="0" applyFill="1" applyBorder="1" applyProtection="1">
      <protection locked="0"/>
    </xf>
    <xf numFmtId="44" fontId="0" fillId="0" borderId="45" xfId="1" applyFont="1" applyFill="1" applyBorder="1" applyProtection="1">
      <protection locked="0"/>
    </xf>
    <xf numFmtId="2" fontId="0" fillId="0" borderId="45" xfId="0" applyNumberFormat="1" applyBorder="1" applyProtection="1">
      <protection locked="0"/>
    </xf>
    <xf numFmtId="0" fontId="0" fillId="0" borderId="48" xfId="0" applyBorder="1" applyProtection="1">
      <protection locked="0"/>
    </xf>
    <xf numFmtId="0" fontId="0" fillId="0" borderId="0" xfId="0" applyAlignment="1">
      <alignment horizontal="left" wrapText="1"/>
    </xf>
    <xf numFmtId="0" fontId="0" fillId="0" borderId="49" xfId="0" applyBorder="1" applyProtection="1">
      <protection locked="0"/>
    </xf>
    <xf numFmtId="0" fontId="0" fillId="0" borderId="0" xfId="0" applyFont="1"/>
    <xf numFmtId="0" fontId="2" fillId="0" borderId="0" xfId="0" applyFont="1" applyFill="1" applyBorder="1"/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44" fontId="0" fillId="0" borderId="51" xfId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3" xfId="0" applyBorder="1"/>
    <xf numFmtId="0" fontId="0" fillId="0" borderId="54" xfId="0" applyBorder="1"/>
    <xf numFmtId="0" fontId="0" fillId="0" borderId="61" xfId="0" applyBorder="1"/>
    <xf numFmtId="0" fontId="0" fillId="0" borderId="34" xfId="0" applyBorder="1"/>
    <xf numFmtId="0" fontId="0" fillId="0" borderId="62" xfId="0" applyBorder="1"/>
    <xf numFmtId="0" fontId="0" fillId="0" borderId="65" xfId="0" applyBorder="1" applyProtection="1">
      <protection locked="0"/>
    </xf>
    <xf numFmtId="0" fontId="0" fillId="0" borderId="66" xfId="0" applyBorder="1" applyProtection="1">
      <protection locked="0"/>
    </xf>
    <xf numFmtId="0" fontId="0" fillId="0" borderId="67" xfId="0" applyBorder="1" applyProtection="1">
      <protection locked="0"/>
    </xf>
    <xf numFmtId="0" fontId="0" fillId="0" borderId="68" xfId="0" applyBorder="1" applyProtection="1">
      <protection locked="0"/>
    </xf>
    <xf numFmtId="0" fontId="0" fillId="0" borderId="69" xfId="0" applyBorder="1" applyProtection="1">
      <protection locked="0"/>
    </xf>
    <xf numFmtId="0" fontId="0" fillId="0" borderId="70" xfId="0" applyBorder="1" applyProtection="1">
      <protection locked="0"/>
    </xf>
    <xf numFmtId="0" fontId="0" fillId="0" borderId="71" xfId="0" applyBorder="1" applyProtection="1">
      <protection locked="0"/>
    </xf>
    <xf numFmtId="0" fontId="0" fillId="0" borderId="72" xfId="0" applyBorder="1" applyProtection="1">
      <protection locked="0"/>
    </xf>
    <xf numFmtId="0" fontId="0" fillId="0" borderId="73" xfId="0" applyBorder="1" applyProtection="1">
      <protection locked="0"/>
    </xf>
    <xf numFmtId="0" fontId="0" fillId="0" borderId="55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0" xfId="0" applyFont="1" applyAlignment="1"/>
    <xf numFmtId="164" fontId="0" fillId="0" borderId="32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" fontId="0" fillId="0" borderId="57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Alignment="1">
      <alignment wrapText="1"/>
    </xf>
    <xf numFmtId="0" fontId="0" fillId="0" borderId="0" xfId="0" applyAlignment="1"/>
    <xf numFmtId="44" fontId="0" fillId="0" borderId="28" xfId="0" applyNumberFormat="1" applyBorder="1"/>
    <xf numFmtId="44" fontId="0" fillId="0" borderId="27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" fontId="0" fillId="0" borderId="0" xfId="0" applyNumberFormat="1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8" xfId="0" applyFont="1" applyFill="1" applyBorder="1"/>
    <xf numFmtId="0" fontId="0" fillId="0" borderId="80" xfId="0" applyBorder="1"/>
    <xf numFmtId="0" fontId="0" fillId="0" borderId="52" xfId="0" applyBorder="1"/>
    <xf numFmtId="44" fontId="0" fillId="0" borderId="52" xfId="1" applyFont="1" applyBorder="1"/>
    <xf numFmtId="0" fontId="0" fillId="2" borderId="0" xfId="0" applyFont="1" applyFill="1"/>
    <xf numFmtId="0" fontId="2" fillId="2" borderId="0" xfId="0" applyFont="1" applyFill="1"/>
    <xf numFmtId="44" fontId="2" fillId="2" borderId="0" xfId="0" applyNumberFormat="1" applyFont="1" applyFill="1"/>
    <xf numFmtId="44" fontId="0" fillId="2" borderId="0" xfId="0" applyNumberFormat="1" applyFont="1" applyFill="1"/>
    <xf numFmtId="44" fontId="0" fillId="2" borderId="0" xfId="1" applyFont="1" applyFill="1"/>
    <xf numFmtId="0" fontId="3" fillId="0" borderId="63" xfId="0" applyFont="1" applyBorder="1"/>
    <xf numFmtId="0" fontId="3" fillId="0" borderId="64" xfId="0" applyFont="1" applyBorder="1"/>
    <xf numFmtId="0" fontId="0" fillId="0" borderId="0" xfId="0" applyFill="1" applyBorder="1" applyAlignment="1">
      <alignment horizontal="left"/>
    </xf>
    <xf numFmtId="44" fontId="0" fillId="0" borderId="0" xfId="1" applyFont="1" applyFill="1" applyBorder="1" applyProtection="1">
      <protection locked="0"/>
    </xf>
    <xf numFmtId="0" fontId="0" fillId="0" borderId="81" xfId="0" applyFill="1" applyBorder="1" applyAlignment="1"/>
    <xf numFmtId="0" fontId="0" fillId="0" borderId="82" xfId="0" applyFill="1" applyBorder="1" applyAlignment="1"/>
    <xf numFmtId="0" fontId="0" fillId="0" borderId="83" xfId="0" applyFill="1" applyBorder="1" applyAlignment="1"/>
    <xf numFmtId="0" fontId="0" fillId="0" borderId="84" xfId="0" applyFill="1" applyBorder="1" applyAlignment="1"/>
    <xf numFmtId="0" fontId="4" fillId="0" borderId="0" xfId="0" applyFont="1" applyAlignment="1">
      <alignment horizontal="left" vertical="center" wrapText="1"/>
    </xf>
    <xf numFmtId="0" fontId="0" fillId="0" borderId="85" xfId="0" applyBorder="1" applyProtection="1">
      <protection locked="0"/>
    </xf>
    <xf numFmtId="0" fontId="0" fillId="0" borderId="28" xfId="0" applyBorder="1" applyProtection="1"/>
    <xf numFmtId="0" fontId="0" fillId="0" borderId="27" xfId="0" applyBorder="1" applyProtection="1"/>
    <xf numFmtId="0" fontId="0" fillId="0" borderId="39" xfId="0" applyBorder="1" applyProtection="1"/>
    <xf numFmtId="0" fontId="0" fillId="0" borderId="23" xfId="0" applyBorder="1" applyProtection="1"/>
    <xf numFmtId="1" fontId="0" fillId="0" borderId="27" xfId="0" applyNumberFormat="1" applyBorder="1" applyProtection="1"/>
    <xf numFmtId="2" fontId="0" fillId="0" borderId="36" xfId="0" applyNumberFormat="1" applyBorder="1" applyProtection="1"/>
    <xf numFmtId="1" fontId="0" fillId="0" borderId="9" xfId="0" applyNumberFormat="1" applyBorder="1" applyProtection="1"/>
    <xf numFmtId="2" fontId="0" fillId="0" borderId="7" xfId="0" applyNumberFormat="1" applyBorder="1" applyProtection="1"/>
    <xf numFmtId="0" fontId="0" fillId="0" borderId="9" xfId="0" applyBorder="1" applyProtection="1"/>
    <xf numFmtId="2" fontId="0" fillId="0" borderId="38" xfId="0" applyNumberFormat="1" applyBorder="1" applyProtection="1"/>
    <xf numFmtId="0" fontId="0" fillId="0" borderId="35" xfId="0" applyBorder="1" applyProtection="1"/>
    <xf numFmtId="2" fontId="0" fillId="0" borderId="8" xfId="0" applyNumberFormat="1" applyBorder="1" applyProtection="1"/>
    <xf numFmtId="0" fontId="0" fillId="0" borderId="88" xfId="0" applyBorder="1" applyProtection="1"/>
    <xf numFmtId="0" fontId="0" fillId="0" borderId="76" xfId="0" applyBorder="1" applyProtection="1"/>
    <xf numFmtId="2" fontId="0" fillId="0" borderId="76" xfId="0" applyNumberFormat="1" applyBorder="1" applyProtection="1"/>
    <xf numFmtId="1" fontId="0" fillId="0" borderId="77" xfId="0" applyNumberFormat="1" applyBorder="1" applyProtection="1"/>
    <xf numFmtId="1" fontId="0" fillId="0" borderId="74" xfId="0" applyNumberFormat="1" applyBorder="1" applyProtection="1"/>
    <xf numFmtId="0" fontId="0" fillId="0" borderId="87" xfId="0" applyFont="1" applyBorder="1" applyProtection="1"/>
    <xf numFmtId="0" fontId="0" fillId="0" borderId="41" xfId="0" applyBorder="1" applyProtection="1"/>
    <xf numFmtId="2" fontId="0" fillId="0" borderId="75" xfId="0" applyNumberFormat="1" applyBorder="1" applyProtection="1"/>
    <xf numFmtId="1" fontId="0" fillId="0" borderId="75" xfId="0" applyNumberFormat="1" applyBorder="1" applyProtection="1"/>
    <xf numFmtId="0" fontId="0" fillId="0" borderId="46" xfId="0" applyBorder="1" applyProtection="1"/>
    <xf numFmtId="0" fontId="0" fillId="0" borderId="79" xfId="0" applyFont="1" applyBorder="1" applyProtection="1"/>
    <xf numFmtId="9" fontId="0" fillId="0" borderId="67" xfId="0" applyNumberFormat="1" applyFont="1" applyBorder="1" applyProtection="1">
      <protection locked="0"/>
    </xf>
    <xf numFmtId="9" fontId="0" fillId="0" borderId="70" xfId="0" applyNumberFormat="1" applyFont="1" applyBorder="1" applyProtection="1">
      <protection locked="0"/>
    </xf>
    <xf numFmtId="9" fontId="0" fillId="0" borderId="70" xfId="2" applyFont="1" applyBorder="1" applyProtection="1">
      <protection locked="0"/>
    </xf>
    <xf numFmtId="9" fontId="0" fillId="0" borderId="86" xfId="0" applyNumberFormat="1" applyFont="1" applyBorder="1" applyProtection="1">
      <protection locked="0"/>
    </xf>
    <xf numFmtId="9" fontId="0" fillId="0" borderId="73" xfId="0" applyNumberFormat="1" applyFont="1" applyBorder="1" applyProtection="1">
      <protection locked="0"/>
    </xf>
    <xf numFmtId="2" fontId="0" fillId="0" borderId="49" xfId="0" applyNumberFormat="1" applyBorder="1" applyProtection="1">
      <protection locked="0"/>
    </xf>
    <xf numFmtId="2" fontId="0" fillId="0" borderId="89" xfId="0" applyNumberFormat="1" applyBorder="1" applyProtection="1">
      <protection locked="0"/>
    </xf>
    <xf numFmtId="1" fontId="0" fillId="2" borderId="0" xfId="2" applyNumberFormat="1" applyFont="1" applyFill="1"/>
    <xf numFmtId="0" fontId="3" fillId="0" borderId="0" xfId="0" applyFont="1" applyBorder="1" applyAlignment="1">
      <alignment horizontal="left" vertical="center" wrapText="1"/>
    </xf>
    <xf numFmtId="0" fontId="0" fillId="0" borderId="47" xfId="0" applyFill="1" applyBorder="1" applyProtection="1">
      <protection locked="0"/>
    </xf>
    <xf numFmtId="0" fontId="4" fillId="0" borderId="0" xfId="0" applyFont="1" applyBorder="1" applyAlignment="1">
      <alignment horizontal="left" vertical="center" wrapText="1"/>
    </xf>
    <xf numFmtId="0" fontId="0" fillId="0" borderId="15" xfId="0" applyBorder="1"/>
    <xf numFmtId="0" fontId="0" fillId="0" borderId="17" xfId="0" applyBorder="1"/>
    <xf numFmtId="0" fontId="0" fillId="0" borderId="19" xfId="0" applyBorder="1"/>
    <xf numFmtId="0" fontId="0" fillId="0" borderId="50" xfId="0" applyBorder="1"/>
    <xf numFmtId="0" fontId="0" fillId="0" borderId="90" xfId="0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kWh / Semana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Aux!$A$2</c:f>
              <c:strCache>
                <c:ptCount val="1"/>
                <c:pt idx="0">
                  <c:v>Verão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Aux!$C$3:$C$24</c:f>
              <c:strCache>
                <c:ptCount val="19"/>
                <c:pt idx="0">
                  <c:v>M. secar</c:v>
                </c:pt>
                <c:pt idx="1">
                  <c:v>M. L. roupa</c:v>
                </c:pt>
                <c:pt idx="2">
                  <c:v>M. loiça</c:v>
                </c:pt>
                <c:pt idx="3">
                  <c:v>Bomba rega</c:v>
                </c:pt>
                <c:pt idx="4">
                  <c:v>Lâmpadas LED</c:v>
                </c:pt>
                <c:pt idx="5">
                  <c:v>Frigorifico</c:v>
                </c:pt>
                <c:pt idx="6">
                  <c:v>Recuperador calor</c:v>
                </c:pt>
                <c:pt idx="7">
                  <c:v>Computador</c:v>
                </c:pt>
                <c:pt idx="8">
                  <c:v>Televisão</c:v>
                </c:pt>
                <c:pt idx="9">
                  <c:v>Box</c:v>
                </c:pt>
                <c:pt idx="10">
                  <c:v>Router</c:v>
                </c:pt>
                <c:pt idx="11">
                  <c:v>Desumidificador</c:v>
                </c:pt>
                <c:pt idx="12">
                  <c:v>Bomba calor AQS</c:v>
                </c:pt>
                <c:pt idx="13">
                  <c:v>Exaustor</c:v>
                </c:pt>
                <c:pt idx="14">
                  <c:v>Forno</c:v>
                </c:pt>
                <c:pt idx="15">
                  <c:v>M. Café</c:v>
                </c:pt>
                <c:pt idx="16">
                  <c:v>Aspirador</c:v>
                </c:pt>
                <c:pt idx="17">
                  <c:v>Placa indução</c:v>
                </c:pt>
                <c:pt idx="18">
                  <c:v>Outros</c:v>
                </c:pt>
              </c:strCache>
            </c:strRef>
          </c:cat>
          <c:val>
            <c:numRef>
              <c:f>Aux!$A$3:$A$21</c:f>
              <c:numCache>
                <c:formatCode>General</c:formatCode>
                <c:ptCount val="19"/>
                <c:pt idx="0">
                  <c:v>2.0769230769230771</c:v>
                </c:pt>
                <c:pt idx="1">
                  <c:v>2.5961538461538463</c:v>
                </c:pt>
                <c:pt idx="2">
                  <c:v>4.9615384615384617</c:v>
                </c:pt>
                <c:pt idx="3">
                  <c:v>6.4615384615384617</c:v>
                </c:pt>
                <c:pt idx="4">
                  <c:v>18.17307692307692</c:v>
                </c:pt>
                <c:pt idx="5">
                  <c:v>3.8605769230769238</c:v>
                </c:pt>
                <c:pt idx="6">
                  <c:v>0</c:v>
                </c:pt>
                <c:pt idx="7">
                  <c:v>10.096153846153847</c:v>
                </c:pt>
                <c:pt idx="8">
                  <c:v>6.7307692307692308</c:v>
                </c:pt>
                <c:pt idx="9">
                  <c:v>3.3653846153846154</c:v>
                </c:pt>
                <c:pt idx="10">
                  <c:v>3.2307692307692308</c:v>
                </c:pt>
                <c:pt idx="11">
                  <c:v>0</c:v>
                </c:pt>
                <c:pt idx="12">
                  <c:v>18.651315789473685</c:v>
                </c:pt>
                <c:pt idx="13">
                  <c:v>1.3701923076923077</c:v>
                </c:pt>
                <c:pt idx="14">
                  <c:v>3.8461538461538463</c:v>
                </c:pt>
                <c:pt idx="15">
                  <c:v>0.86538461538461542</c:v>
                </c:pt>
                <c:pt idx="16">
                  <c:v>1.9230769230769231</c:v>
                </c:pt>
                <c:pt idx="17">
                  <c:v>18.26923076923077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Aux!$B$2</c:f>
              <c:strCache>
                <c:ptCount val="1"/>
                <c:pt idx="0">
                  <c:v>Inverno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Aux!$C$3:$C$24</c:f>
              <c:strCache>
                <c:ptCount val="19"/>
                <c:pt idx="0">
                  <c:v>M. secar</c:v>
                </c:pt>
                <c:pt idx="1">
                  <c:v>M. L. roupa</c:v>
                </c:pt>
                <c:pt idx="2">
                  <c:v>M. loiça</c:v>
                </c:pt>
                <c:pt idx="3">
                  <c:v>Bomba rega</c:v>
                </c:pt>
                <c:pt idx="4">
                  <c:v>Lâmpadas LED</c:v>
                </c:pt>
                <c:pt idx="5">
                  <c:v>Frigorifico</c:v>
                </c:pt>
                <c:pt idx="6">
                  <c:v>Recuperador calor</c:v>
                </c:pt>
                <c:pt idx="7">
                  <c:v>Computador</c:v>
                </c:pt>
                <c:pt idx="8">
                  <c:v>Televisão</c:v>
                </c:pt>
                <c:pt idx="9">
                  <c:v>Box</c:v>
                </c:pt>
                <c:pt idx="10">
                  <c:v>Router</c:v>
                </c:pt>
                <c:pt idx="11">
                  <c:v>Desumidificador</c:v>
                </c:pt>
                <c:pt idx="12">
                  <c:v>Bomba calor AQS</c:v>
                </c:pt>
                <c:pt idx="13">
                  <c:v>Exaustor</c:v>
                </c:pt>
                <c:pt idx="14">
                  <c:v>Forno</c:v>
                </c:pt>
                <c:pt idx="15">
                  <c:v>M. Café</c:v>
                </c:pt>
                <c:pt idx="16">
                  <c:v>Aspirador</c:v>
                </c:pt>
                <c:pt idx="17">
                  <c:v>Placa indução</c:v>
                </c:pt>
                <c:pt idx="18">
                  <c:v>Outros</c:v>
                </c:pt>
              </c:strCache>
            </c:strRef>
          </c:cat>
          <c:val>
            <c:numRef>
              <c:f>Aux!$B$3:$B$21</c:f>
              <c:numCache>
                <c:formatCode>General</c:formatCode>
                <c:ptCount val="19"/>
                <c:pt idx="0">
                  <c:v>6.2307692307692308</c:v>
                </c:pt>
                <c:pt idx="1">
                  <c:v>2.5961538461538463</c:v>
                </c:pt>
                <c:pt idx="2">
                  <c:v>4.9615384615384617</c:v>
                </c:pt>
                <c:pt idx="3">
                  <c:v>0.92307692307692313</c:v>
                </c:pt>
                <c:pt idx="4">
                  <c:v>22.21153846153846</c:v>
                </c:pt>
                <c:pt idx="5">
                  <c:v>3.1586538461538463</c:v>
                </c:pt>
                <c:pt idx="6">
                  <c:v>13.176923076923078</c:v>
                </c:pt>
                <c:pt idx="7">
                  <c:v>10.096153846153847</c:v>
                </c:pt>
                <c:pt idx="8">
                  <c:v>6.7307692307692308</c:v>
                </c:pt>
                <c:pt idx="9">
                  <c:v>3.3653846153846154</c:v>
                </c:pt>
                <c:pt idx="10">
                  <c:v>3.2307692307692308</c:v>
                </c:pt>
                <c:pt idx="11">
                  <c:v>20.76923076923077</c:v>
                </c:pt>
                <c:pt idx="12">
                  <c:v>22.796052631578952</c:v>
                </c:pt>
                <c:pt idx="13">
                  <c:v>1.3701923076923077</c:v>
                </c:pt>
                <c:pt idx="14">
                  <c:v>3.8461538461538463</c:v>
                </c:pt>
                <c:pt idx="15">
                  <c:v>0.86538461538461542</c:v>
                </c:pt>
                <c:pt idx="16">
                  <c:v>1.9230769230769231</c:v>
                </c:pt>
                <c:pt idx="17">
                  <c:v>18.26923076923077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588472"/>
        <c:axId val="484588864"/>
      </c:barChart>
      <c:catAx>
        <c:axId val="48458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588864"/>
        <c:crosses val="autoZero"/>
        <c:auto val="1"/>
        <c:lblAlgn val="ctr"/>
        <c:lblOffset val="100"/>
        <c:noMultiLvlLbl val="0"/>
      </c:catAx>
      <c:valAx>
        <c:axId val="48458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588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effectLst/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Aux!$A$22:$B$22</c:f>
              <c:strCache>
                <c:ptCount val="2"/>
                <c:pt idx="0">
                  <c:v>Verão</c:v>
                </c:pt>
                <c:pt idx="1">
                  <c:v>Inverno</c:v>
                </c:pt>
              </c:strCache>
            </c:strRef>
          </c:cat>
          <c:val>
            <c:numRef>
              <c:f>Aux!$A$23:$B$23</c:f>
              <c:numCache>
                <c:formatCode>0</c:formatCode>
                <c:ptCount val="2"/>
                <c:pt idx="0">
                  <c:v>106.47823886639677</c:v>
                </c:pt>
                <c:pt idx="1">
                  <c:v>146.52105263157895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Vento - número de dias com x Beaufort (Bft) - Média</a:t>
            </a:r>
            <a:r>
              <a:rPr lang="en-US" baseline="0"/>
              <a:t> mensal dos últimos três anos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Eolica!$C$4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Eolica!$B$5:$B$16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Eolica!$C$5:$C$16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Eolica!$D$4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Eolica!$B$5:$B$16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Eolica!$D$5:$D$16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ser>
          <c:idx val="2"/>
          <c:order val="2"/>
          <c:tx>
            <c:strRef>
              <c:f>Eolica!$E$4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Eolica!$B$5:$B$16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Eolica!$E$5:$E$16</c:f>
              <c:numCache>
                <c:formatCode>General</c:formatCode>
                <c:ptCount val="12"/>
                <c:pt idx="0">
                  <c:v>9</c:v>
                </c:pt>
                <c:pt idx="1">
                  <c:v>13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15</c:v>
                </c:pt>
                <c:pt idx="8">
                  <c:v>9</c:v>
                </c:pt>
                <c:pt idx="9">
                  <c:v>8</c:v>
                </c:pt>
                <c:pt idx="10">
                  <c:v>9</c:v>
                </c:pt>
                <c:pt idx="11">
                  <c:v>6</c:v>
                </c:pt>
              </c:numCache>
            </c:numRef>
          </c:val>
        </c:ser>
        <c:ser>
          <c:idx val="3"/>
          <c:order val="3"/>
          <c:tx>
            <c:strRef>
              <c:f>Eolica!$F$4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Eolica!$B$5:$B$16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Eolica!$F$5:$F$16</c:f>
              <c:numCache>
                <c:formatCode>General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14</c:v>
                </c:pt>
                <c:pt idx="4">
                  <c:v>12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12</c:v>
                </c:pt>
                <c:pt idx="10">
                  <c:v>10</c:v>
                </c:pt>
                <c:pt idx="11">
                  <c:v>11</c:v>
                </c:pt>
              </c:numCache>
            </c:numRef>
          </c:val>
        </c:ser>
        <c:ser>
          <c:idx val="4"/>
          <c:order val="4"/>
          <c:tx>
            <c:strRef>
              <c:f>Eolica!$G$4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Eolica!$B$5:$B$16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Eolica!$G$5:$G$16</c:f>
              <c:numCache>
                <c:formatCode>General</c:formatCode>
                <c:ptCount val="12"/>
                <c:pt idx="0">
                  <c:v>10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6</c:v>
                </c:pt>
                <c:pt idx="9">
                  <c:v>9</c:v>
                </c:pt>
                <c:pt idx="10">
                  <c:v>8</c:v>
                </c:pt>
                <c:pt idx="1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6999392"/>
        <c:axId val="476999784"/>
      </c:barChart>
      <c:catAx>
        <c:axId val="476999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999784"/>
        <c:crosses val="autoZero"/>
        <c:auto val="1"/>
        <c:lblAlgn val="ctr"/>
        <c:lblOffset val="100"/>
        <c:noMultiLvlLbl val="0"/>
      </c:catAx>
      <c:valAx>
        <c:axId val="476999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99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€/mês (incluí IVA e audiovisual)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Aux!$A$28</c:f>
              <c:strCache>
                <c:ptCount val="1"/>
                <c:pt idx="0">
                  <c:v>Tarifa normal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Aux!$B$27:$E$27</c:f>
              <c:strCache>
                <c:ptCount val="4"/>
                <c:pt idx="0">
                  <c:v>Com paineis, aerogerador e BC AQS</c:v>
                </c:pt>
                <c:pt idx="1">
                  <c:v>Com BC AQS</c:v>
                </c:pt>
                <c:pt idx="2">
                  <c:v>Com paineis</c:v>
                </c:pt>
                <c:pt idx="3">
                  <c:v>Sem energias renovaveis</c:v>
                </c:pt>
              </c:strCache>
            </c:strRef>
          </c:cat>
          <c:val>
            <c:numRef>
              <c:f>Aux!$B$28:$E$28</c:f>
              <c:numCache>
                <c:formatCode>_("€"* #,##0.00_);_("€"* \(#,##0.00\);_("€"* "-"??_);_(@_)</c:formatCode>
                <c:ptCount val="4"/>
                <c:pt idx="0">
                  <c:v>92.199623950348681</c:v>
                </c:pt>
                <c:pt idx="1">
                  <c:v>120.74579447697369</c:v>
                </c:pt>
                <c:pt idx="2">
                  <c:v>150.29006183749996</c:v>
                </c:pt>
                <c:pt idx="3">
                  <c:v>169.76671618749998</c:v>
                </c:pt>
              </c:numCache>
            </c:numRef>
          </c:val>
        </c:ser>
        <c:ser>
          <c:idx val="1"/>
          <c:order val="1"/>
          <c:tx>
            <c:strRef>
              <c:f>Aux!$A$29</c:f>
              <c:strCache>
                <c:ptCount val="1"/>
                <c:pt idx="0">
                  <c:v>Tarifa social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Aux!$B$27:$E$27</c:f>
              <c:strCache>
                <c:ptCount val="4"/>
                <c:pt idx="0">
                  <c:v>Com paineis, aerogerador e BC AQS</c:v>
                </c:pt>
                <c:pt idx="1">
                  <c:v>Com BC AQS</c:v>
                </c:pt>
                <c:pt idx="2">
                  <c:v>Com paineis</c:v>
                </c:pt>
                <c:pt idx="3">
                  <c:v>Sem energias renovaveis</c:v>
                </c:pt>
              </c:strCache>
            </c:strRef>
          </c:cat>
          <c:val>
            <c:numRef>
              <c:f>Aux!$B$29:$E$29</c:f>
              <c:numCache>
                <c:formatCode>_("€"* #,##0.00_);_("€"* \(#,##0.00\);_("€"* "-"??_);_(@_)</c:formatCode>
                <c:ptCount val="4"/>
                <c:pt idx="0">
                  <c:v>69.969262095200563</c:v>
                </c:pt>
                <c:pt idx="1">
                  <c:v>94.57606108915131</c:v>
                </c:pt>
                <c:pt idx="2">
                  <c:v>120.04321955392497</c:v>
                </c:pt>
                <c:pt idx="3">
                  <c:v>136.83209560362499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449616"/>
        <c:axId val="548450008"/>
      </c:barChart>
      <c:catAx>
        <c:axId val="54844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450008"/>
        <c:crosses val="autoZero"/>
        <c:auto val="1"/>
        <c:lblAlgn val="ctr"/>
        <c:lblOffset val="100"/>
        <c:noMultiLvlLbl val="0"/>
      </c:catAx>
      <c:valAx>
        <c:axId val="548450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449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Retorno do investimento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Aux!$K$2</c:f>
              <c:strCache>
                <c:ptCount val="1"/>
                <c:pt idx="0">
                  <c:v>Paineis fotovoltaicos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Aux!$I$3:$I$11</c:f>
              <c:numCache>
                <c:formatCode>General</c:formatCod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xVal>
          <c:yVal>
            <c:numRef>
              <c:f>Aux!$K$3:$K$11</c:f>
              <c:numCache>
                <c:formatCode>_("€"* #,##0.00_);_("€"* \(#,##0.00\);_("€"* "-"??_);_(@_)</c:formatCode>
                <c:ptCount val="9"/>
                <c:pt idx="0">
                  <c:v>2070.2801478000001</c:v>
                </c:pt>
                <c:pt idx="1">
                  <c:v>1831.1847389994002</c:v>
                </c:pt>
                <c:pt idx="2">
                  <c:v>1586.5901357963864</c:v>
                </c:pt>
                <c:pt idx="3">
                  <c:v>1336.3698567197034</c:v>
                </c:pt>
                <c:pt idx="4">
                  <c:v>1080.3945112242568</c:v>
                </c:pt>
                <c:pt idx="5">
                  <c:v>818.53173278241491</c:v>
                </c:pt>
                <c:pt idx="6">
                  <c:v>550.64611043641071</c:v>
                </c:pt>
                <c:pt idx="7">
                  <c:v>276.59911877644839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Aux!$L$2</c:f>
              <c:strCache>
                <c:ptCount val="1"/>
                <c:pt idx="0">
                  <c:v>Bomba de calor AQS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Aux!$I$3:$I$11</c:f>
              <c:numCache>
                <c:formatCode>General</c:formatCod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xVal>
          <c:yVal>
            <c:numRef>
              <c:f>Aux!$L$3:$L$11</c:f>
              <c:numCache>
                <c:formatCode>_("€"* #,##0.00_);_("€"* \(#,##0.00\);_("€"* "-"??_);_(@_)</c:formatCode>
                <c:ptCount val="9"/>
                <c:pt idx="0">
                  <c:v>1411.7489394736842</c:v>
                </c:pt>
                <c:pt idx="1">
                  <c:v>809.96810455526327</c:v>
                </c:pt>
                <c:pt idx="2">
                  <c:v>194.34631043371871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Aux!$M$2</c:f>
              <c:strCache>
                <c:ptCount val="1"/>
                <c:pt idx="0">
                  <c:v>Aerogerador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Aux!$I$3:$I$11</c:f>
              <c:numCache>
                <c:formatCode>General</c:formatCod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xVal>
          <c:yVal>
            <c:numRef>
              <c:f>Aux!$M$3:$M$11</c:f>
              <c:numCache>
                <c:formatCode>_("€"* #,##0.00_);_("€"* \(#,##0.00\);_("€"* "-"??_);_(@_)</c:formatCode>
                <c:ptCount val="9"/>
                <c:pt idx="0">
                  <c:v>691.16580588049999</c:v>
                </c:pt>
                <c:pt idx="1">
                  <c:v>579.82842529625145</c:v>
                </c:pt>
                <c:pt idx="2">
                  <c:v>465.93028495856527</c:v>
                </c:pt>
                <c:pt idx="3">
                  <c:v>349.41248739311231</c:v>
                </c:pt>
                <c:pt idx="4">
                  <c:v>230.21478048365395</c:v>
                </c:pt>
                <c:pt idx="5">
                  <c:v>108.27552631527806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Aux!$N$2</c:f>
              <c:strCache>
                <c:ptCount val="1"/>
                <c:pt idx="0">
                  <c:v>Aerogerador + Paineis + BC AQS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Aux!$I$3:$I$11</c:f>
              <c:numCache>
                <c:formatCode>General</c:formatCod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xVal>
          <c:yVal>
            <c:numRef>
              <c:f>Aux!$N$3:$N$11</c:f>
              <c:numCache>
                <c:formatCode>_("€"* #,##0.00_);_("€"* \(#,##0.00\);_("€"* "-"??_);_(@_)</c:formatCode>
                <c:ptCount val="9"/>
                <c:pt idx="0">
                  <c:v>4173.1948931541838</c:v>
                </c:pt>
                <c:pt idx="1">
                  <c:v>3220.9812688509141</c:v>
                </c:pt>
                <c:pt idx="2">
                  <c:v>2246.8667311886693</c:v>
                </c:pt>
                <c:pt idx="3">
                  <c:v>1250.3475591601932</c:v>
                </c:pt>
                <c:pt idx="4">
                  <c:v>230.90844617506229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809016"/>
        <c:axId val="566809408"/>
      </c:scatterChart>
      <c:valAx>
        <c:axId val="566809016"/>
        <c:scaling>
          <c:orientation val="minMax"/>
          <c:max val="2024"/>
          <c:min val="201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809408"/>
        <c:crosses val="autoZero"/>
        <c:crossBetween val="midCat"/>
      </c:valAx>
      <c:valAx>
        <c:axId val="56680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809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9526</xdr:colOff>
      <xdr:row>10</xdr:row>
      <xdr:rowOff>157163</xdr:rowOff>
    </xdr:from>
    <xdr:to>
      <xdr:col>10</xdr:col>
      <xdr:colOff>19051</xdr:colOff>
      <xdr:row>24</xdr:row>
      <xdr:rowOff>85726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904877</xdr:colOff>
      <xdr:row>0</xdr:row>
      <xdr:rowOff>238126</xdr:rowOff>
    </xdr:from>
    <xdr:to>
      <xdr:col>8</xdr:col>
      <xdr:colOff>4210051</xdr:colOff>
      <xdr:row>9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571499</xdr:colOff>
      <xdr:row>6</xdr:row>
      <xdr:rowOff>180975</xdr:rowOff>
    </xdr:from>
    <xdr:to>
      <xdr:col>14</xdr:col>
      <xdr:colOff>304800</xdr:colOff>
      <xdr:row>24</xdr:row>
      <xdr:rowOff>19051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15</xdr:row>
      <xdr:rowOff>276225</xdr:rowOff>
    </xdr:from>
    <xdr:to>
      <xdr:col>9</xdr:col>
      <xdr:colOff>28575</xdr:colOff>
      <xdr:row>29</xdr:row>
      <xdr:rowOff>9526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19051</xdr:colOff>
      <xdr:row>13</xdr:row>
      <xdr:rowOff>142876</xdr:rowOff>
    </xdr:from>
    <xdr:to>
      <xdr:col>11</xdr:col>
      <xdr:colOff>1</xdr:colOff>
      <xdr:row>30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B20" sqref="B20"/>
    </sheetView>
  </sheetViews>
  <sheetFormatPr defaultRowHeight="15" x14ac:dyDescent="0.25"/>
  <cols>
    <col min="1" max="2" width="12" bestFit="1" customWidth="1"/>
    <col min="3" max="3" width="17.28515625" bestFit="1" customWidth="1"/>
    <col min="11" max="11" width="19.7109375" bestFit="1" customWidth="1"/>
    <col min="12" max="12" width="19" bestFit="1" customWidth="1"/>
    <col min="13" max="13" width="12.140625" bestFit="1" customWidth="1"/>
    <col min="14" max="14" width="11" bestFit="1" customWidth="1"/>
  </cols>
  <sheetData>
    <row r="1" spans="1:14" x14ac:dyDescent="0.25">
      <c r="A1" s="69" t="s">
        <v>95</v>
      </c>
      <c r="B1" s="69"/>
      <c r="C1" s="69"/>
      <c r="I1" s="58"/>
      <c r="J1" s="58"/>
      <c r="K1" s="58"/>
      <c r="L1" s="58"/>
      <c r="M1" s="58"/>
    </row>
    <row r="2" spans="1:14" x14ac:dyDescent="0.25">
      <c r="A2" s="119" t="s">
        <v>46</v>
      </c>
      <c r="B2" s="119" t="s">
        <v>45</v>
      </c>
      <c r="I2" s="119" t="s">
        <v>26</v>
      </c>
      <c r="J2" s="119"/>
      <c r="K2" s="119" t="str">
        <f>Retorno!D3</f>
        <v>Paineis fotovoltaicos</v>
      </c>
      <c r="L2" s="119" t="str">
        <f>Retorno!F3</f>
        <v>Bomba de calor AQS</v>
      </c>
      <c r="M2" s="119" t="str">
        <f>Retorno!H3</f>
        <v>Aerogerador</v>
      </c>
      <c r="N2" t="str">
        <f>Retorno!$J$3</f>
        <v>Aerogerador + Paineis + BC AQS</v>
      </c>
    </row>
    <row r="3" spans="1:14" x14ac:dyDescent="0.25">
      <c r="A3" s="119">
        <f>Consumo!E4*(1-Consumo!G4)/26</f>
        <v>2.0769230769230771</v>
      </c>
      <c r="B3" s="119">
        <f>Consumo!E4*Consumo!G4/26</f>
        <v>6.2307692307692308</v>
      </c>
      <c r="C3" s="119" t="str">
        <f>Consumo!B4</f>
        <v>M. secar</v>
      </c>
      <c r="I3" s="119">
        <f>Retorno!B5</f>
        <v>2016</v>
      </c>
      <c r="J3" s="119"/>
      <c r="K3" s="122">
        <f>Retorno!E5</f>
        <v>2070.2801478000001</v>
      </c>
      <c r="L3" s="123">
        <f>Retorno!G5</f>
        <v>1411.7489394736842</v>
      </c>
      <c r="M3" s="123">
        <f>Retorno!I5</f>
        <v>691.16580588049999</v>
      </c>
      <c r="N3" s="1">
        <f>Retorno!K5</f>
        <v>4173.1948931541838</v>
      </c>
    </row>
    <row r="4" spans="1:14" x14ac:dyDescent="0.25">
      <c r="A4" s="119">
        <f>Consumo!E5*(1-Consumo!G5)/26</f>
        <v>2.5961538461538463</v>
      </c>
      <c r="B4" s="119">
        <f>Consumo!E5*Consumo!G5/26</f>
        <v>2.5961538461538463</v>
      </c>
      <c r="C4" s="119" t="str">
        <f>Consumo!B5</f>
        <v>M. L. roupa</v>
      </c>
      <c r="I4" s="119">
        <f>Retorno!B6</f>
        <v>2017</v>
      </c>
      <c r="J4" s="119"/>
      <c r="K4" s="122">
        <f>Retorno!E6</f>
        <v>1831.1847389994002</v>
      </c>
      <c r="L4" s="123">
        <f>Retorno!G6</f>
        <v>809.96810455526327</v>
      </c>
      <c r="M4" s="123">
        <f>Retorno!I6</f>
        <v>579.82842529625145</v>
      </c>
      <c r="N4" s="1">
        <f>Retorno!K6</f>
        <v>3220.9812688509141</v>
      </c>
    </row>
    <row r="5" spans="1:14" x14ac:dyDescent="0.25">
      <c r="A5" s="119">
        <f>Consumo!E6*(1-Consumo!G6)/26</f>
        <v>4.9615384615384617</v>
      </c>
      <c r="B5" s="119">
        <f>Consumo!E6*Consumo!G6/26</f>
        <v>4.9615384615384617</v>
      </c>
      <c r="C5" s="119" t="str">
        <f>Consumo!B6</f>
        <v>M. loiça</v>
      </c>
      <c r="I5" s="119">
        <f>Retorno!B7</f>
        <v>2018</v>
      </c>
      <c r="J5" s="119"/>
      <c r="K5" s="122">
        <f>Retorno!E7</f>
        <v>1586.5901357963864</v>
      </c>
      <c r="L5" s="123">
        <f>Retorno!G7</f>
        <v>194.34631043371871</v>
      </c>
      <c r="M5" s="123">
        <f>Retorno!I7</f>
        <v>465.93028495856527</v>
      </c>
      <c r="N5" s="1">
        <f>Retorno!K7</f>
        <v>2246.8667311886693</v>
      </c>
    </row>
    <row r="6" spans="1:14" x14ac:dyDescent="0.25">
      <c r="A6" s="119">
        <f>Consumo!E7*(1-Consumo!G7)/26</f>
        <v>6.4615384615384617</v>
      </c>
      <c r="B6" s="119">
        <f>Consumo!E7*Consumo!G7/26</f>
        <v>0.92307692307692313</v>
      </c>
      <c r="C6" s="119" t="str">
        <f>Consumo!B7</f>
        <v>Bomba rega</v>
      </c>
      <c r="I6" s="119">
        <f>Retorno!B8</f>
        <v>2019</v>
      </c>
      <c r="J6" s="119"/>
      <c r="K6" s="122">
        <f>Retorno!E8</f>
        <v>1336.3698567197034</v>
      </c>
      <c r="L6" s="123">
        <f>Retorno!G8</f>
        <v>0</v>
      </c>
      <c r="M6" s="123">
        <f>Retorno!I8</f>
        <v>349.41248739311231</v>
      </c>
      <c r="N6" s="1">
        <f>Retorno!K8</f>
        <v>1250.3475591601932</v>
      </c>
    </row>
    <row r="7" spans="1:14" x14ac:dyDescent="0.25">
      <c r="A7" s="119">
        <f>Consumo!E8*(1-Consumo!G8)/26</f>
        <v>18.17307692307692</v>
      </c>
      <c r="B7" s="119">
        <f>Consumo!E8*Consumo!G8/26</f>
        <v>22.21153846153846</v>
      </c>
      <c r="C7" s="119" t="str">
        <f>Consumo!B8</f>
        <v>Lâmpadas LED</v>
      </c>
      <c r="I7" s="119">
        <f>Retorno!B9</f>
        <v>2020</v>
      </c>
      <c r="J7" s="119"/>
      <c r="K7" s="122">
        <f>Retorno!E9</f>
        <v>1080.3945112242568</v>
      </c>
      <c r="L7" s="123">
        <f>Retorno!G9</f>
        <v>0</v>
      </c>
      <c r="M7" s="123">
        <f>Retorno!I9</f>
        <v>230.21478048365395</v>
      </c>
      <c r="N7" s="1">
        <f>Retorno!K9</f>
        <v>230.90844617506229</v>
      </c>
    </row>
    <row r="8" spans="1:14" x14ac:dyDescent="0.25">
      <c r="A8" s="119">
        <f>Consumo!E9*(1-Consumo!G9)/26</f>
        <v>3.8605769230769238</v>
      </c>
      <c r="B8" s="119">
        <f>Consumo!E9*Consumo!G9/26</f>
        <v>3.1586538461538463</v>
      </c>
      <c r="C8" s="119" t="str">
        <f>Consumo!B9</f>
        <v>Frigorifico</v>
      </c>
      <c r="I8" s="119">
        <f>Retorno!B10</f>
        <v>2021</v>
      </c>
      <c r="J8" s="119"/>
      <c r="K8" s="122">
        <f>Retorno!E10</f>
        <v>818.53173278241491</v>
      </c>
      <c r="L8" s="123">
        <f>Retorno!G10</f>
        <v>0</v>
      </c>
      <c r="M8" s="123">
        <f>Retorno!I10</f>
        <v>108.27552631527806</v>
      </c>
      <c r="N8" s="1">
        <f>Retorno!K10</f>
        <v>0</v>
      </c>
    </row>
    <row r="9" spans="1:14" x14ac:dyDescent="0.25">
      <c r="A9" s="119">
        <f>Consumo!E10*(1-Consumo!G10)/26</f>
        <v>0</v>
      </c>
      <c r="B9" s="119">
        <f>Consumo!E10*Consumo!G10/26</f>
        <v>13.176923076923078</v>
      </c>
      <c r="C9" s="119" t="str">
        <f>Consumo!B10</f>
        <v>Recuperador calor</v>
      </c>
      <c r="I9" s="119">
        <f>Retorno!B11</f>
        <v>2022</v>
      </c>
      <c r="J9" s="119"/>
      <c r="K9" s="122">
        <f>Retorno!E11</f>
        <v>550.64611043641071</v>
      </c>
      <c r="L9" s="123">
        <f>Retorno!G11</f>
        <v>0</v>
      </c>
      <c r="M9" s="123">
        <f>Retorno!I11</f>
        <v>0</v>
      </c>
      <c r="N9" s="1">
        <f>Retorno!K11</f>
        <v>0</v>
      </c>
    </row>
    <row r="10" spans="1:14" x14ac:dyDescent="0.25">
      <c r="A10" s="119">
        <f>Consumo!E11*(1-Consumo!G11)/26</f>
        <v>10.096153846153847</v>
      </c>
      <c r="B10" s="119">
        <f>Consumo!E11*Consumo!G11/26</f>
        <v>10.096153846153847</v>
      </c>
      <c r="C10" s="119" t="str">
        <f>Consumo!B11</f>
        <v>Computador</v>
      </c>
      <c r="I10" s="119">
        <f>Retorno!B12</f>
        <v>2023</v>
      </c>
      <c r="J10" s="119"/>
      <c r="K10" s="122">
        <f>Retorno!E12</f>
        <v>276.59911877644839</v>
      </c>
      <c r="L10" s="123">
        <f>Retorno!G12</f>
        <v>0</v>
      </c>
      <c r="M10" s="123">
        <f>Retorno!I12</f>
        <v>0</v>
      </c>
      <c r="N10" s="1">
        <f>Retorno!K12</f>
        <v>0</v>
      </c>
    </row>
    <row r="11" spans="1:14" x14ac:dyDescent="0.25">
      <c r="A11" s="119">
        <f>Consumo!E12*(1-Consumo!G12)/26</f>
        <v>6.7307692307692308</v>
      </c>
      <c r="B11" s="119">
        <f>Consumo!E12*Consumo!G12/26</f>
        <v>6.7307692307692308</v>
      </c>
      <c r="C11" s="119" t="str">
        <f>Consumo!B12</f>
        <v>Televisão</v>
      </c>
      <c r="I11" s="119">
        <f>Retorno!B13</f>
        <v>2024</v>
      </c>
      <c r="J11" s="119"/>
      <c r="K11" s="122">
        <f>Retorno!E13</f>
        <v>0</v>
      </c>
      <c r="L11" s="123">
        <f>Retorno!G13</f>
        <v>0</v>
      </c>
      <c r="M11" s="123">
        <f>Retorno!I13</f>
        <v>0</v>
      </c>
      <c r="N11" s="1">
        <f>Retorno!K13</f>
        <v>0</v>
      </c>
    </row>
    <row r="12" spans="1:14" x14ac:dyDescent="0.25">
      <c r="A12" s="119">
        <f>Consumo!E13*(1-Consumo!G13)/26</f>
        <v>3.3653846153846154</v>
      </c>
      <c r="B12" s="119">
        <f>Consumo!E13*Consumo!G13/26</f>
        <v>3.3653846153846154</v>
      </c>
      <c r="C12" s="119" t="str">
        <f>Consumo!B13</f>
        <v>Box</v>
      </c>
    </row>
    <row r="13" spans="1:14" x14ac:dyDescent="0.25">
      <c r="A13" s="119">
        <f>Consumo!E14*(1-Consumo!G14)/26</f>
        <v>3.2307692307692308</v>
      </c>
      <c r="B13" s="119">
        <f>Consumo!E14*Consumo!G14/26</f>
        <v>3.2307692307692308</v>
      </c>
      <c r="C13" s="119" t="str">
        <f>Consumo!B14</f>
        <v>Router</v>
      </c>
    </row>
    <row r="14" spans="1:14" x14ac:dyDescent="0.25">
      <c r="A14" s="119">
        <f>Consumo!E15*(1-Consumo!G15)/26</f>
        <v>0</v>
      </c>
      <c r="B14" s="119">
        <f>Consumo!E15*Consumo!G15/26</f>
        <v>20.76923076923077</v>
      </c>
      <c r="C14" s="119" t="str">
        <f>Consumo!B15</f>
        <v>Desumidificador</v>
      </c>
    </row>
    <row r="15" spans="1:14" x14ac:dyDescent="0.25">
      <c r="A15" s="119">
        <f>Consumo!E16*(1-Consumo!G16)/26</f>
        <v>18.651315789473685</v>
      </c>
      <c r="B15" s="119">
        <f>Consumo!E16*Consumo!G16/26</f>
        <v>22.796052631578952</v>
      </c>
      <c r="C15" s="119" t="str">
        <f>Consumo!B16</f>
        <v>Bomba calor AQS</v>
      </c>
    </row>
    <row r="16" spans="1:14" x14ac:dyDescent="0.25">
      <c r="A16" s="119">
        <f>Consumo!E17*(1-Consumo!G17)/26</f>
        <v>1.3701923076923077</v>
      </c>
      <c r="B16" s="119">
        <f>Consumo!E17*Consumo!G17/26</f>
        <v>1.3701923076923077</v>
      </c>
      <c r="C16" s="119" t="str">
        <f>Consumo!B17</f>
        <v>Exaustor</v>
      </c>
    </row>
    <row r="17" spans="1:5" x14ac:dyDescent="0.25">
      <c r="A17" s="119">
        <f>Consumo!E18*(1-Consumo!G18)/26</f>
        <v>3.8461538461538463</v>
      </c>
      <c r="B17" s="119">
        <f>Consumo!E18*Consumo!G18/26</f>
        <v>3.8461538461538463</v>
      </c>
      <c r="C17" s="119" t="str">
        <f>Consumo!B18</f>
        <v>Forno</v>
      </c>
    </row>
    <row r="18" spans="1:5" x14ac:dyDescent="0.25">
      <c r="A18" s="119">
        <f>Consumo!E19*(1-Consumo!G19)/26</f>
        <v>0.86538461538461542</v>
      </c>
      <c r="B18" s="119">
        <f>Consumo!E19*Consumo!G19/26</f>
        <v>0.86538461538461542</v>
      </c>
      <c r="C18" s="119" t="str">
        <f>Consumo!B19</f>
        <v>M. Café</v>
      </c>
    </row>
    <row r="19" spans="1:5" x14ac:dyDescent="0.25">
      <c r="A19" s="119">
        <f>Consumo!E20*(1-Consumo!G20)/26</f>
        <v>1.9230769230769231</v>
      </c>
      <c r="B19" s="119">
        <f>Consumo!E20*Consumo!G20/26</f>
        <v>1.9230769230769231</v>
      </c>
      <c r="C19" s="119" t="str">
        <f>Consumo!B20</f>
        <v>Aspirador</v>
      </c>
    </row>
    <row r="20" spans="1:5" x14ac:dyDescent="0.25">
      <c r="A20" s="119">
        <f>Consumo!E21*(1-Consumo!G21)/26</f>
        <v>18.26923076923077</v>
      </c>
      <c r="B20" s="119">
        <f>Consumo!E21*Consumo!G21/26</f>
        <v>18.26923076923077</v>
      </c>
      <c r="C20" s="119" t="str">
        <f>Consumo!B21</f>
        <v>Placa indução</v>
      </c>
    </row>
    <row r="21" spans="1:5" x14ac:dyDescent="0.25">
      <c r="A21" s="119">
        <f>Consumo!E22*(1-Consumo!G22)/26</f>
        <v>0</v>
      </c>
      <c r="B21" s="119">
        <f>Consumo!E22*Consumo!G22/26</f>
        <v>0</v>
      </c>
      <c r="C21" s="119" t="str">
        <f>Consumo!B22</f>
        <v>Outros</v>
      </c>
    </row>
    <row r="22" spans="1:5" x14ac:dyDescent="0.25">
      <c r="A22" s="119" t="s">
        <v>46</v>
      </c>
      <c r="B22" s="119" t="s">
        <v>45</v>
      </c>
      <c r="C22" s="119"/>
    </row>
    <row r="23" spans="1:5" x14ac:dyDescent="0.25">
      <c r="A23" s="164">
        <f>SUM(A3:A20)</f>
        <v>106.47823886639677</v>
      </c>
      <c r="B23" s="164">
        <f>SUM(B3:B20)</f>
        <v>146.52105263157895</v>
      </c>
      <c r="C23" s="119"/>
    </row>
    <row r="24" spans="1:5" x14ac:dyDescent="0.25">
      <c r="A24" s="119"/>
      <c r="B24" s="119"/>
      <c r="C24" s="119"/>
    </row>
    <row r="25" spans="1:5" x14ac:dyDescent="0.25">
      <c r="A25" s="119"/>
      <c r="B25" s="119"/>
      <c r="C25" s="119"/>
    </row>
    <row r="27" spans="1:5" x14ac:dyDescent="0.25">
      <c r="A27" s="58"/>
      <c r="B27" s="119" t="str">
        <f>Pagamentos!C3</f>
        <v>Com paineis, aerogerador e BC AQS</v>
      </c>
      <c r="C27" s="119" t="str">
        <f>Pagamentos!F3</f>
        <v>Com BC AQS</v>
      </c>
      <c r="D27" s="119" t="str">
        <f>Pagamentos!H3</f>
        <v>Com paineis</v>
      </c>
      <c r="E27" s="119" t="str">
        <f>Pagamentos!J3</f>
        <v>Sem energias renovaveis</v>
      </c>
    </row>
    <row r="28" spans="1:5" x14ac:dyDescent="0.25">
      <c r="A28" s="58" t="s">
        <v>42</v>
      </c>
      <c r="B28" s="122">
        <f>Pagamentos!C11</f>
        <v>92.199623950348681</v>
      </c>
      <c r="C28" s="122">
        <f>Pagamentos!F11</f>
        <v>120.74579447697369</v>
      </c>
      <c r="D28" s="122">
        <f>Pagamentos!H11</f>
        <v>150.29006183749996</v>
      </c>
      <c r="E28" s="122">
        <f>Pagamentos!J11</f>
        <v>169.76671618749998</v>
      </c>
    </row>
    <row r="29" spans="1:5" x14ac:dyDescent="0.25">
      <c r="A29" s="58" t="s">
        <v>43</v>
      </c>
      <c r="B29" s="122">
        <f>Pagamentos!C15</f>
        <v>69.969262095200563</v>
      </c>
      <c r="C29" s="122">
        <f>Pagamentos!F15</f>
        <v>94.57606108915131</v>
      </c>
      <c r="D29" s="122">
        <f>Pagamentos!H15</f>
        <v>120.04321955392497</v>
      </c>
      <c r="E29" s="122">
        <f>Pagamentos!J15</f>
        <v>136.83209560362499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showGridLines="0" tabSelected="1" workbookViewId="0">
      <selection activeCell="B64" sqref="B64"/>
    </sheetView>
  </sheetViews>
  <sheetFormatPr defaultRowHeight="15" x14ac:dyDescent="0.25"/>
  <cols>
    <col min="1" max="1" width="2.85546875" customWidth="1"/>
    <col min="2" max="2" width="53" bestFit="1" customWidth="1"/>
    <col min="3" max="3" width="11" bestFit="1" customWidth="1"/>
  </cols>
  <sheetData>
    <row r="1" spans="2:3" ht="23.25" customHeight="1" x14ac:dyDescent="0.25">
      <c r="B1" s="66" t="s">
        <v>47</v>
      </c>
      <c r="C1" s="66"/>
    </row>
    <row r="2" spans="2:3" ht="15.75" thickBot="1" x14ac:dyDescent="0.3">
      <c r="B2" s="165"/>
      <c r="C2" s="165"/>
    </row>
    <row r="3" spans="2:3" ht="15.75" thickTop="1" x14ac:dyDescent="0.25">
      <c r="B3" s="128" t="s">
        <v>39</v>
      </c>
      <c r="C3" s="166">
        <v>200</v>
      </c>
    </row>
    <row r="4" spans="2:3" x14ac:dyDescent="0.25">
      <c r="B4" s="129" t="s">
        <v>36</v>
      </c>
      <c r="C4" s="51">
        <f>2.8</f>
        <v>2.8</v>
      </c>
    </row>
    <row r="5" spans="2:3" x14ac:dyDescent="0.25">
      <c r="B5" s="129" t="s">
        <v>49</v>
      </c>
      <c r="C5" s="52">
        <v>1000</v>
      </c>
    </row>
    <row r="6" spans="2:3" x14ac:dyDescent="0.25">
      <c r="B6" s="129" t="s">
        <v>48</v>
      </c>
      <c r="C6" s="52">
        <v>500</v>
      </c>
    </row>
    <row r="7" spans="2:3" x14ac:dyDescent="0.25">
      <c r="B7" s="129" t="s">
        <v>37</v>
      </c>
      <c r="C7" s="53">
        <v>2000</v>
      </c>
    </row>
    <row r="8" spans="2:3" x14ac:dyDescent="0.25">
      <c r="B8" s="130" t="s">
        <v>50</v>
      </c>
      <c r="C8" s="68">
        <v>800</v>
      </c>
    </row>
    <row r="9" spans="2:3" ht="15.75" thickBot="1" x14ac:dyDescent="0.3">
      <c r="B9" s="131" t="s">
        <v>38</v>
      </c>
      <c r="C9" s="50">
        <v>2304</v>
      </c>
    </row>
    <row r="10" spans="2:3" ht="15.75" thickTop="1" x14ac:dyDescent="0.25"/>
  </sheetData>
  <sheetProtection algorithmName="SHA-512" hashValue="D+4JU703MQ4IHzMbGSJdLbHkW/jbpmwdntb5FkbRPwYOqMxB9bP277WwdOO5IEqzcLb7YZQQZ+EOew79rWcEAQ==" saltValue="JsSDfo/FQ5wGzJEjzDXC+A==" spinCount="100000" sheet="1" objects="1" scenarios="1"/>
  <mergeCells count="1">
    <mergeCell ref="B1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workbookViewId="0">
      <selection activeCell="B42" sqref="B42"/>
    </sheetView>
  </sheetViews>
  <sheetFormatPr defaultRowHeight="15" x14ac:dyDescent="0.25"/>
  <cols>
    <col min="1" max="1" width="2.85546875" customWidth="1"/>
    <col min="2" max="2" width="27.5703125" bestFit="1" customWidth="1"/>
    <col min="3" max="3" width="12.85546875" bestFit="1" customWidth="1"/>
    <col min="4" max="4" width="11" bestFit="1" customWidth="1"/>
    <col min="5" max="5" width="11.5703125" customWidth="1"/>
    <col min="6" max="6" width="11.28515625" customWidth="1"/>
    <col min="7" max="8" width="13.7109375" customWidth="1"/>
    <col min="9" max="9" width="63.7109375" customWidth="1"/>
    <col min="10" max="10" width="11" bestFit="1" customWidth="1"/>
  </cols>
  <sheetData>
    <row r="1" spans="1:8" ht="23.25" customHeight="1" x14ac:dyDescent="0.25">
      <c r="B1" s="66" t="s">
        <v>47</v>
      </c>
      <c r="C1" s="66"/>
      <c r="D1" s="66"/>
      <c r="E1" s="66"/>
      <c r="F1" s="66"/>
    </row>
    <row r="2" spans="1:8" ht="16.5" customHeight="1" thickBot="1" x14ac:dyDescent="0.3">
      <c r="B2" s="67"/>
      <c r="C2" s="67"/>
      <c r="D2" s="67"/>
      <c r="E2" s="67"/>
      <c r="F2" s="67"/>
    </row>
    <row r="3" spans="1:8" ht="16.5" thickTop="1" thickBot="1" x14ac:dyDescent="0.3">
      <c r="A3" s="41"/>
      <c r="B3" s="2"/>
      <c r="C3" s="2" t="s">
        <v>40</v>
      </c>
      <c r="D3" s="45" t="s">
        <v>2</v>
      </c>
      <c r="E3" s="3" t="s">
        <v>1</v>
      </c>
      <c r="F3" s="116" t="s">
        <v>16</v>
      </c>
      <c r="G3" s="115" t="s">
        <v>94</v>
      </c>
      <c r="H3" s="59"/>
    </row>
    <row r="4" spans="1:8" x14ac:dyDescent="0.25">
      <c r="A4" s="41"/>
      <c r="B4" s="5" t="s">
        <v>7</v>
      </c>
      <c r="C4" s="134" t="s">
        <v>41</v>
      </c>
      <c r="D4" s="46">
        <v>1.8</v>
      </c>
      <c r="E4" s="134">
        <f>D4*F4</f>
        <v>216</v>
      </c>
      <c r="F4" s="77">
        <v>120</v>
      </c>
      <c r="G4" s="157">
        <v>0.75</v>
      </c>
      <c r="H4" s="41"/>
    </row>
    <row r="5" spans="1:8" x14ac:dyDescent="0.25">
      <c r="A5" s="41"/>
      <c r="B5" s="7" t="s">
        <v>8</v>
      </c>
      <c r="C5" s="135" t="s">
        <v>41</v>
      </c>
      <c r="D5" s="54">
        <v>0.6</v>
      </c>
      <c r="E5" s="135">
        <v>135</v>
      </c>
      <c r="F5" s="80">
        <v>220</v>
      </c>
      <c r="G5" s="158">
        <v>0.5</v>
      </c>
      <c r="H5" s="41"/>
    </row>
    <row r="6" spans="1:8" ht="15.75" thickBot="1" x14ac:dyDescent="0.3">
      <c r="A6" s="41"/>
      <c r="B6" s="7" t="s">
        <v>9</v>
      </c>
      <c r="C6" s="136" t="s">
        <v>41</v>
      </c>
      <c r="D6" s="54">
        <v>0.9</v>
      </c>
      <c r="E6" s="135">
        <v>258</v>
      </c>
      <c r="F6" s="80">
        <v>280</v>
      </c>
      <c r="G6" s="158">
        <v>0.5</v>
      </c>
      <c r="H6" s="41"/>
    </row>
    <row r="7" spans="1:8" ht="15.75" thickBot="1" x14ac:dyDescent="0.3">
      <c r="A7" s="41"/>
      <c r="B7" s="28" t="s">
        <v>10</v>
      </c>
      <c r="C7" s="48">
        <v>1</v>
      </c>
      <c r="D7" s="54">
        <v>1.2</v>
      </c>
      <c r="E7" s="135">
        <f>F7*D7*C7</f>
        <v>192</v>
      </c>
      <c r="F7" s="80">
        <v>160</v>
      </c>
      <c r="G7" s="159">
        <v>0.125</v>
      </c>
      <c r="H7" s="41"/>
    </row>
    <row r="8" spans="1:8" x14ac:dyDescent="0.25">
      <c r="A8" s="41"/>
      <c r="B8" s="7" t="s">
        <v>32</v>
      </c>
      <c r="C8" s="137" t="s">
        <v>41</v>
      </c>
      <c r="D8" s="54">
        <v>3</v>
      </c>
      <c r="E8" s="135">
        <f>D8*F8</f>
        <v>1050</v>
      </c>
      <c r="F8" s="80">
        <v>350</v>
      </c>
      <c r="G8" s="159">
        <f>11/20</f>
        <v>0.55000000000000004</v>
      </c>
      <c r="H8" s="41"/>
    </row>
    <row r="9" spans="1:8" ht="15.75" thickBot="1" x14ac:dyDescent="0.3">
      <c r="A9" s="41"/>
      <c r="B9" s="7" t="s">
        <v>0</v>
      </c>
      <c r="C9" s="136" t="s">
        <v>41</v>
      </c>
      <c r="D9" s="47">
        <v>0.5</v>
      </c>
      <c r="E9" s="138">
        <f>D9*F9</f>
        <v>182.5</v>
      </c>
      <c r="F9" s="80">
        <v>365</v>
      </c>
      <c r="G9" s="158">
        <v>0.45</v>
      </c>
      <c r="H9" s="41"/>
    </row>
    <row r="10" spans="1:8" x14ac:dyDescent="0.25">
      <c r="A10" s="41"/>
      <c r="B10" s="28" t="s">
        <v>11</v>
      </c>
      <c r="C10" s="49">
        <v>6</v>
      </c>
      <c r="D10" s="139">
        <f>E10/F10</f>
        <v>2.2840000000000003</v>
      </c>
      <c r="E10" s="140">
        <f>10*24*365/1000+(0.5+0.2*C10)*F10</f>
        <v>342.6</v>
      </c>
      <c r="F10" s="80">
        <v>150</v>
      </c>
      <c r="G10" s="158">
        <v>1</v>
      </c>
      <c r="H10" s="41"/>
    </row>
    <row r="11" spans="1:8" x14ac:dyDescent="0.25">
      <c r="A11" s="41"/>
      <c r="B11" s="28" t="s">
        <v>3</v>
      </c>
      <c r="C11" s="51">
        <v>6</v>
      </c>
      <c r="D11" s="141">
        <f>0.25*C11</f>
        <v>1.5</v>
      </c>
      <c r="E11" s="142">
        <f>D11*F11</f>
        <v>525</v>
      </c>
      <c r="F11" s="80">
        <v>350</v>
      </c>
      <c r="G11" s="158">
        <v>0.5</v>
      </c>
      <c r="H11" s="41"/>
    </row>
    <row r="12" spans="1:8" x14ac:dyDescent="0.25">
      <c r="A12" s="41"/>
      <c r="B12" s="28" t="s">
        <v>4</v>
      </c>
      <c r="C12" s="51">
        <v>10</v>
      </c>
      <c r="D12" s="141">
        <f>0.1*C12</f>
        <v>1</v>
      </c>
      <c r="E12" s="142">
        <f t="shared" ref="E12:E16" si="0">D12*F12</f>
        <v>350</v>
      </c>
      <c r="F12" s="80">
        <v>350</v>
      </c>
      <c r="G12" s="158">
        <v>0.5</v>
      </c>
      <c r="H12" s="41"/>
    </row>
    <row r="13" spans="1:8" x14ac:dyDescent="0.25">
      <c r="A13" s="41"/>
      <c r="B13" s="28" t="s">
        <v>5</v>
      </c>
      <c r="C13" s="51">
        <v>10</v>
      </c>
      <c r="D13" s="141">
        <f>0.05*C13</f>
        <v>0.5</v>
      </c>
      <c r="E13" s="142">
        <f t="shared" si="0"/>
        <v>175</v>
      </c>
      <c r="F13" s="80">
        <v>350</v>
      </c>
      <c r="G13" s="158">
        <v>0.5</v>
      </c>
      <c r="H13" s="41"/>
    </row>
    <row r="14" spans="1:8" x14ac:dyDescent="0.25">
      <c r="A14" s="41"/>
      <c r="B14" s="28" t="s">
        <v>6</v>
      </c>
      <c r="C14" s="57">
        <v>24</v>
      </c>
      <c r="D14" s="141">
        <f>0.02*C14</f>
        <v>0.48</v>
      </c>
      <c r="E14" s="142">
        <f t="shared" si="0"/>
        <v>168</v>
      </c>
      <c r="F14" s="80">
        <v>350</v>
      </c>
      <c r="G14" s="158">
        <v>0.5</v>
      </c>
      <c r="H14" s="41"/>
    </row>
    <row r="15" spans="1:8" ht="15.75" thickBot="1" x14ac:dyDescent="0.3">
      <c r="A15" s="41"/>
      <c r="B15" s="28" t="s">
        <v>44</v>
      </c>
      <c r="C15" s="55">
        <v>6</v>
      </c>
      <c r="D15" s="143">
        <f>0.6*C15</f>
        <v>3.5999999999999996</v>
      </c>
      <c r="E15" s="140">
        <f>D15*F15</f>
        <v>540</v>
      </c>
      <c r="F15" s="80">
        <v>150</v>
      </c>
      <c r="G15" s="158">
        <v>1</v>
      </c>
      <c r="H15" s="41"/>
    </row>
    <row r="16" spans="1:8" ht="15.75" thickBot="1" x14ac:dyDescent="0.3">
      <c r="A16" s="41"/>
      <c r="B16" s="7" t="s">
        <v>18</v>
      </c>
      <c r="C16" s="144" t="s">
        <v>41</v>
      </c>
      <c r="D16" s="145">
        <f>(Inputs!C3*0.0585)/(1+Inputs!C4)</f>
        <v>3.0789473684210531</v>
      </c>
      <c r="E16" s="140">
        <f t="shared" si="0"/>
        <v>1077.6315789473686</v>
      </c>
      <c r="F16" s="80">
        <v>350</v>
      </c>
      <c r="G16" s="158">
        <v>0.55000000000000004</v>
      </c>
      <c r="H16" s="41"/>
    </row>
    <row r="17" spans="1:8" ht="15.75" thickBot="1" x14ac:dyDescent="0.3">
      <c r="A17" s="41"/>
      <c r="B17" s="28" t="s">
        <v>12</v>
      </c>
      <c r="C17" s="48">
        <v>1</v>
      </c>
      <c r="D17" s="143">
        <f>0.15*C17</f>
        <v>0.15</v>
      </c>
      <c r="E17" s="140">
        <f>D17*F17</f>
        <v>71.25</v>
      </c>
      <c r="F17" s="80">
        <v>475</v>
      </c>
      <c r="G17" s="158">
        <v>0.5</v>
      </c>
      <c r="H17" s="41"/>
    </row>
    <row r="18" spans="1:8" x14ac:dyDescent="0.25">
      <c r="A18" s="41"/>
      <c r="B18" s="7" t="s">
        <v>13</v>
      </c>
      <c r="C18" s="137" t="s">
        <v>41</v>
      </c>
      <c r="D18" s="46">
        <v>1</v>
      </c>
      <c r="E18" s="135">
        <f>D18*F18</f>
        <v>200</v>
      </c>
      <c r="F18" s="80">
        <v>200</v>
      </c>
      <c r="G18" s="158">
        <v>0.5</v>
      </c>
      <c r="H18" s="41"/>
    </row>
    <row r="19" spans="1:8" x14ac:dyDescent="0.25">
      <c r="A19" s="41"/>
      <c r="B19" s="7" t="s">
        <v>14</v>
      </c>
      <c r="C19" s="135" t="s">
        <v>41</v>
      </c>
      <c r="D19" s="54">
        <f>E19/F19</f>
        <v>0.12857142857142856</v>
      </c>
      <c r="E19" s="135">
        <v>45</v>
      </c>
      <c r="F19" s="80">
        <v>350</v>
      </c>
      <c r="G19" s="158">
        <v>0.5</v>
      </c>
      <c r="H19" s="41"/>
    </row>
    <row r="20" spans="1:8" ht="15" customHeight="1" thickBot="1" x14ac:dyDescent="0.3">
      <c r="A20" s="41"/>
      <c r="B20" s="7" t="s">
        <v>15</v>
      </c>
      <c r="C20" s="136" t="s">
        <v>41</v>
      </c>
      <c r="D20" s="162">
        <f>E20/F20</f>
        <v>0.2857142857142857</v>
      </c>
      <c r="E20" s="135">
        <v>100</v>
      </c>
      <c r="F20" s="80">
        <v>350</v>
      </c>
      <c r="G20" s="158">
        <v>0.5</v>
      </c>
      <c r="H20" s="41"/>
    </row>
    <row r="21" spans="1:8" ht="15.75" thickBot="1" x14ac:dyDescent="0.3">
      <c r="A21" s="41"/>
      <c r="B21" s="28" t="s">
        <v>17</v>
      </c>
      <c r="C21" s="48">
        <v>1</v>
      </c>
      <c r="D21" s="163">
        <f>2*C21</f>
        <v>2</v>
      </c>
      <c r="E21" s="142">
        <f>D21*F21</f>
        <v>950</v>
      </c>
      <c r="F21" s="133">
        <v>475</v>
      </c>
      <c r="G21" s="160">
        <v>0.5</v>
      </c>
      <c r="H21" s="41"/>
    </row>
    <row r="22" spans="1:8" ht="15.75" thickBot="1" x14ac:dyDescent="0.3">
      <c r="A22" s="41"/>
      <c r="B22" s="44" t="s">
        <v>97</v>
      </c>
      <c r="C22" s="146" t="s">
        <v>41</v>
      </c>
      <c r="D22" s="47">
        <v>0</v>
      </c>
      <c r="E22" s="135">
        <f>D22*F22</f>
        <v>0</v>
      </c>
      <c r="F22" s="83">
        <v>350</v>
      </c>
      <c r="G22" s="161">
        <v>0.5</v>
      </c>
      <c r="H22" s="41"/>
    </row>
    <row r="23" spans="1:8" x14ac:dyDescent="0.25">
      <c r="A23" s="41"/>
      <c r="B23" s="44" t="s">
        <v>80</v>
      </c>
      <c r="C23" s="147" t="s">
        <v>41</v>
      </c>
      <c r="D23" s="148">
        <f>E23/F23</f>
        <v>-1.5336618131868134</v>
      </c>
      <c r="E23" s="149">
        <f>-1*(1-27%)*Inputs!C6*SUM(Eolica!G20:G24)/1000</f>
        <v>-558.25290000000007</v>
      </c>
      <c r="F23" s="150">
        <f>SUM(Eolica!D20:D24)</f>
        <v>364</v>
      </c>
      <c r="G23" s="151" t="s">
        <v>41</v>
      </c>
      <c r="H23" s="41"/>
    </row>
    <row r="24" spans="1:8" ht="15.75" thickBot="1" x14ac:dyDescent="0.3">
      <c r="A24" s="41"/>
      <c r="B24" s="9" t="s">
        <v>79</v>
      </c>
      <c r="C24" s="152" t="s">
        <v>41</v>
      </c>
      <c r="D24" s="153">
        <f>E24/F24</f>
        <v>-3.2844931506849311</v>
      </c>
      <c r="E24" s="154">
        <f>-1*1.462*Inputs!C5*82%</f>
        <v>-1198.8399999999999</v>
      </c>
      <c r="F24" s="155">
        <v>365</v>
      </c>
      <c r="G24" s="156" t="s">
        <v>41</v>
      </c>
      <c r="H24" s="41"/>
    </row>
    <row r="25" spans="1:8" ht="22.5" customHeight="1" x14ac:dyDescent="0.25">
      <c r="B25" s="21"/>
      <c r="C25" s="21"/>
      <c r="D25" s="35"/>
      <c r="E25" s="36"/>
      <c r="F25" s="21"/>
    </row>
    <row r="33" spans="2:6" x14ac:dyDescent="0.25">
      <c r="B33" s="126"/>
      <c r="C33" s="126"/>
      <c r="D33" s="126"/>
      <c r="E33" s="126"/>
      <c r="F33" s="127"/>
    </row>
    <row r="34" spans="2:6" x14ac:dyDescent="0.25">
      <c r="B34" s="126"/>
      <c r="C34" s="126"/>
      <c r="D34" s="126"/>
      <c r="E34" s="126"/>
      <c r="F34" s="127"/>
    </row>
    <row r="35" spans="2:6" x14ac:dyDescent="0.25">
      <c r="B35" s="126"/>
      <c r="C35" s="126"/>
      <c r="D35" s="126"/>
      <c r="E35" s="126"/>
      <c r="F35" s="127"/>
    </row>
    <row r="36" spans="2:6" x14ac:dyDescent="0.25">
      <c r="B36" s="126"/>
      <c r="C36" s="126"/>
      <c r="D36" s="126"/>
      <c r="E36" s="126"/>
      <c r="F36" s="127"/>
    </row>
    <row r="37" spans="2:6" x14ac:dyDescent="0.25">
      <c r="B37" s="126"/>
      <c r="C37" s="126"/>
      <c r="D37" s="126"/>
      <c r="E37" s="126"/>
      <c r="F37" s="127"/>
    </row>
    <row r="38" spans="2:6" x14ac:dyDescent="0.25">
      <c r="B38" s="126"/>
      <c r="C38" s="126"/>
      <c r="D38" s="126"/>
      <c r="E38" s="126"/>
      <c r="F38" s="127"/>
    </row>
    <row r="39" spans="2:6" x14ac:dyDescent="0.25">
      <c r="B39" s="126"/>
      <c r="C39" s="126"/>
      <c r="D39" s="126"/>
      <c r="E39" s="126"/>
      <c r="F39" s="127"/>
    </row>
    <row r="40" spans="2:6" x14ac:dyDescent="0.25">
      <c r="B40" s="126"/>
      <c r="C40" s="126"/>
      <c r="D40" s="126"/>
      <c r="E40" s="126"/>
      <c r="F40" s="127"/>
    </row>
    <row r="41" spans="2:6" x14ac:dyDescent="0.25">
      <c r="B41" s="126"/>
      <c r="C41" s="126"/>
      <c r="D41" s="126"/>
      <c r="E41" s="126"/>
      <c r="F41" s="127"/>
    </row>
    <row r="42" spans="2:6" x14ac:dyDescent="0.25">
      <c r="B42" s="126"/>
      <c r="C42" s="126"/>
      <c r="D42" s="126"/>
      <c r="E42" s="126"/>
      <c r="F42" s="127"/>
    </row>
    <row r="43" spans="2:6" x14ac:dyDescent="0.25">
      <c r="B43" s="126"/>
      <c r="C43" s="126"/>
      <c r="D43" s="126"/>
      <c r="E43" s="126"/>
      <c r="F43" s="127"/>
    </row>
    <row r="44" spans="2:6" x14ac:dyDescent="0.25">
      <c r="B44" s="126"/>
      <c r="C44" s="126"/>
      <c r="D44" s="126"/>
      <c r="E44" s="126"/>
      <c r="F44" s="127"/>
    </row>
    <row r="45" spans="2:6" x14ac:dyDescent="0.25">
      <c r="B45" s="126"/>
      <c r="C45" s="126"/>
      <c r="D45" s="126"/>
      <c r="E45" s="126"/>
      <c r="F45" s="127"/>
    </row>
    <row r="46" spans="2:6" x14ac:dyDescent="0.25">
      <c r="B46" s="126"/>
      <c r="C46" s="126"/>
      <c r="D46" s="126"/>
      <c r="E46" s="126"/>
      <c r="F46" s="127"/>
    </row>
    <row r="47" spans="2:6" x14ac:dyDescent="0.25">
      <c r="B47" s="126"/>
      <c r="C47" s="126"/>
      <c r="D47" s="126"/>
      <c r="E47" s="126"/>
      <c r="F47" s="127"/>
    </row>
    <row r="48" spans="2:6" x14ac:dyDescent="0.25">
      <c r="B48" s="126"/>
      <c r="C48" s="126"/>
      <c r="D48" s="126"/>
      <c r="E48" s="126"/>
      <c r="F48" s="127"/>
    </row>
    <row r="49" spans="2:6" x14ac:dyDescent="0.25">
      <c r="B49" s="126"/>
      <c r="C49" s="126"/>
      <c r="D49" s="126"/>
      <c r="E49" s="126"/>
      <c r="F49" s="127"/>
    </row>
  </sheetData>
  <sheetProtection algorithmName="SHA-512" hashValue="6sNBTlA9jqbsdYO6XU0c6yggkA6gzVxKPXcPbaIX5VKnXibr14F1pRXi3HThX4rX94/qO3QfAx///s7KZ3km6Q==" saltValue="ZLQJw+b45HclYm/V54Esag==" spinCount="100000" sheet="1" objects="1" scenarios="1"/>
  <mergeCells count="1">
    <mergeCell ref="B1:F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showGridLines="0" workbookViewId="0">
      <selection activeCell="B41" sqref="B41"/>
    </sheetView>
  </sheetViews>
  <sheetFormatPr defaultRowHeight="15" x14ac:dyDescent="0.25"/>
  <cols>
    <col min="1" max="1" width="2.85546875" customWidth="1"/>
    <col min="2" max="2" width="27.5703125" bestFit="1" customWidth="1"/>
    <col min="3" max="3" width="12.85546875" bestFit="1" customWidth="1"/>
    <col min="4" max="4" width="11" bestFit="1" customWidth="1"/>
    <col min="5" max="5" width="11.5703125" customWidth="1"/>
    <col min="6" max="6" width="11.28515625" customWidth="1"/>
    <col min="7" max="7" width="14" customWidth="1"/>
    <col min="8" max="8" width="8.5703125" customWidth="1"/>
    <col min="9" max="10" width="13.7109375" customWidth="1"/>
    <col min="11" max="11" width="15.85546875" bestFit="1" customWidth="1"/>
    <col min="12" max="12" width="23.42578125" bestFit="1" customWidth="1"/>
    <col min="13" max="13" width="15.85546875" customWidth="1"/>
    <col min="14" max="14" width="23.42578125" bestFit="1" customWidth="1"/>
    <col min="15" max="15" width="15.85546875" bestFit="1" customWidth="1"/>
    <col min="16" max="16" width="23.42578125" bestFit="1" customWidth="1"/>
    <col min="17" max="17" width="17.28515625" bestFit="1" customWidth="1"/>
    <col min="18" max="18" width="23.42578125" bestFit="1" customWidth="1"/>
    <col min="19" max="19" width="23.42578125" customWidth="1"/>
    <col min="20" max="20" width="15.85546875" bestFit="1" customWidth="1"/>
    <col min="21" max="21" width="23.42578125" bestFit="1" customWidth="1"/>
  </cols>
  <sheetData>
    <row r="1" spans="1:23" ht="23.25" customHeight="1" x14ac:dyDescent="0.25">
      <c r="B1" s="66" t="s">
        <v>47</v>
      </c>
      <c r="C1" s="66"/>
      <c r="D1" s="66"/>
      <c r="E1" s="66"/>
      <c r="F1" s="66"/>
    </row>
    <row r="2" spans="1:23" ht="16.5" customHeight="1" thickBot="1" x14ac:dyDescent="0.3">
      <c r="B2" s="67"/>
      <c r="C2" s="67"/>
      <c r="D2" s="67"/>
      <c r="E2" s="67"/>
      <c r="F2" s="67"/>
    </row>
    <row r="3" spans="1:23" ht="16.5" thickTop="1" thickBot="1" x14ac:dyDescent="0.3">
      <c r="B3" s="2"/>
      <c r="C3" s="70" t="s">
        <v>51</v>
      </c>
      <c r="D3" s="70"/>
      <c r="E3" s="70"/>
      <c r="F3" s="70"/>
      <c r="G3" s="71"/>
      <c r="H3" s="106"/>
      <c r="I3" s="95" t="s">
        <v>65</v>
      </c>
      <c r="J3" s="106"/>
      <c r="K3" s="106"/>
      <c r="M3" s="120"/>
      <c r="N3" s="120"/>
      <c r="O3" s="120"/>
      <c r="P3" s="120"/>
      <c r="Q3" s="120"/>
      <c r="R3" s="120"/>
      <c r="S3" s="120"/>
      <c r="T3" s="120"/>
      <c r="U3" s="120"/>
    </row>
    <row r="4" spans="1:23" ht="15.75" thickBot="1" x14ac:dyDescent="0.3">
      <c r="B4" s="72" t="s">
        <v>52</v>
      </c>
      <c r="C4" s="124">
        <v>6</v>
      </c>
      <c r="D4" s="124">
        <v>5</v>
      </c>
      <c r="E4" s="124">
        <v>4</v>
      </c>
      <c r="F4" s="124">
        <v>3</v>
      </c>
      <c r="G4" s="125">
        <v>2</v>
      </c>
      <c r="H4" s="21"/>
      <c r="I4" s="95" t="s">
        <v>66</v>
      </c>
      <c r="J4" s="21"/>
      <c r="K4" s="21"/>
      <c r="M4" s="120"/>
      <c r="N4" s="120"/>
      <c r="O4" s="120"/>
      <c r="P4" s="120"/>
      <c r="Q4" s="120"/>
      <c r="R4" s="120"/>
      <c r="S4" s="120"/>
      <c r="T4" s="120"/>
      <c r="U4" s="120"/>
      <c r="V4" s="58"/>
      <c r="W4" s="58"/>
    </row>
    <row r="5" spans="1:23" x14ac:dyDescent="0.25">
      <c r="B5" s="74" t="s">
        <v>53</v>
      </c>
      <c r="C5" s="77">
        <v>2</v>
      </c>
      <c r="D5" s="78">
        <v>5</v>
      </c>
      <c r="E5" s="78">
        <v>9</v>
      </c>
      <c r="F5" s="78">
        <v>6</v>
      </c>
      <c r="G5" s="79">
        <v>10</v>
      </c>
      <c r="H5" s="101"/>
      <c r="I5" s="95" t="s">
        <v>75</v>
      </c>
      <c r="J5" s="101"/>
      <c r="K5" s="101"/>
      <c r="M5" s="120"/>
      <c r="N5" s="120"/>
      <c r="O5" s="120"/>
      <c r="P5" s="120"/>
      <c r="Q5" s="120"/>
      <c r="R5" s="120"/>
      <c r="S5" s="120"/>
      <c r="T5" s="120"/>
      <c r="U5" s="120"/>
      <c r="V5" s="58"/>
      <c r="W5" s="58"/>
    </row>
    <row r="6" spans="1:23" x14ac:dyDescent="0.25">
      <c r="B6" s="75" t="s">
        <v>54</v>
      </c>
      <c r="C6" s="80">
        <v>1</v>
      </c>
      <c r="D6" s="81">
        <v>4</v>
      </c>
      <c r="E6" s="81">
        <v>13</v>
      </c>
      <c r="F6" s="81">
        <v>6</v>
      </c>
      <c r="G6" s="82">
        <v>3</v>
      </c>
      <c r="H6" s="101"/>
      <c r="I6" s="101"/>
      <c r="J6" s="101"/>
      <c r="K6" s="101"/>
      <c r="M6" s="120"/>
      <c r="N6" s="120"/>
      <c r="O6" s="120"/>
      <c r="P6" s="120"/>
      <c r="Q6" s="120"/>
      <c r="R6" s="120"/>
      <c r="S6" s="120"/>
      <c r="T6" s="120"/>
      <c r="U6" s="120"/>
      <c r="V6" s="58"/>
      <c r="W6" s="58"/>
    </row>
    <row r="7" spans="1:23" x14ac:dyDescent="0.25">
      <c r="B7" s="75" t="s">
        <v>55</v>
      </c>
      <c r="C7" s="80">
        <v>1</v>
      </c>
      <c r="D7" s="81">
        <v>5</v>
      </c>
      <c r="E7" s="81">
        <v>10</v>
      </c>
      <c r="F7" s="81">
        <v>8</v>
      </c>
      <c r="G7" s="82">
        <v>6</v>
      </c>
      <c r="H7" s="101"/>
      <c r="I7" s="101"/>
      <c r="J7" s="101"/>
      <c r="K7" s="101"/>
      <c r="M7" s="120"/>
      <c r="N7" s="120"/>
      <c r="O7" s="120"/>
      <c r="P7" s="120"/>
      <c r="Q7" s="120"/>
      <c r="R7" s="120"/>
      <c r="S7" s="120"/>
      <c r="T7" s="120"/>
      <c r="U7" s="120"/>
      <c r="V7" s="58"/>
      <c r="W7" s="58"/>
    </row>
    <row r="8" spans="1:23" x14ac:dyDescent="0.25">
      <c r="B8" s="75" t="s">
        <v>56</v>
      </c>
      <c r="C8" s="80">
        <v>0</v>
      </c>
      <c r="D8" s="81">
        <v>2</v>
      </c>
      <c r="E8" s="81">
        <v>11</v>
      </c>
      <c r="F8" s="81">
        <v>14</v>
      </c>
      <c r="G8" s="82">
        <v>4</v>
      </c>
      <c r="H8" s="101"/>
      <c r="I8" s="101"/>
      <c r="J8" s="101"/>
      <c r="K8" s="101"/>
      <c r="M8" s="120"/>
      <c r="N8" s="120"/>
      <c r="O8" s="120"/>
      <c r="P8" s="120"/>
      <c r="Q8" s="120"/>
      <c r="R8" s="120"/>
      <c r="S8" s="120"/>
      <c r="T8" s="120"/>
      <c r="U8" s="120"/>
      <c r="V8" s="58"/>
      <c r="W8" s="58"/>
    </row>
    <row r="9" spans="1:23" x14ac:dyDescent="0.25">
      <c r="B9" s="75" t="s">
        <v>57</v>
      </c>
      <c r="C9" s="80">
        <v>1</v>
      </c>
      <c r="D9" s="81">
        <v>3</v>
      </c>
      <c r="E9" s="81">
        <v>12</v>
      </c>
      <c r="F9" s="81">
        <v>12</v>
      </c>
      <c r="G9" s="82">
        <v>3</v>
      </c>
      <c r="H9" s="101"/>
      <c r="I9" s="101"/>
      <c r="J9" s="101"/>
      <c r="K9" s="101"/>
      <c r="M9" s="120"/>
      <c r="N9" s="120"/>
      <c r="O9" s="120"/>
      <c r="P9" s="120"/>
      <c r="Q9" s="120"/>
      <c r="R9" s="120"/>
      <c r="S9" s="120"/>
      <c r="T9" s="120"/>
      <c r="U9" s="120"/>
      <c r="V9" s="58"/>
      <c r="W9" s="58"/>
    </row>
    <row r="10" spans="1:23" x14ac:dyDescent="0.25">
      <c r="B10" s="75" t="s">
        <v>58</v>
      </c>
      <c r="C10" s="80">
        <v>0</v>
      </c>
      <c r="D10" s="81">
        <v>1</v>
      </c>
      <c r="E10" s="81">
        <v>12</v>
      </c>
      <c r="F10" s="81">
        <v>16</v>
      </c>
      <c r="G10" s="82">
        <v>1</v>
      </c>
      <c r="H10" s="101"/>
      <c r="I10" s="101"/>
      <c r="J10" s="101"/>
      <c r="K10" s="101"/>
      <c r="M10" s="120"/>
      <c r="N10" s="120"/>
      <c r="O10" s="120"/>
      <c r="P10" s="120"/>
      <c r="Q10" s="120"/>
      <c r="R10" s="120"/>
      <c r="S10" s="120"/>
      <c r="T10" s="120"/>
      <c r="U10" s="120"/>
      <c r="V10" s="58"/>
      <c r="W10" s="58"/>
    </row>
    <row r="11" spans="1:23" x14ac:dyDescent="0.25">
      <c r="B11" s="75" t="s">
        <v>59</v>
      </c>
      <c r="C11" s="80">
        <v>0</v>
      </c>
      <c r="D11" s="81">
        <v>2</v>
      </c>
      <c r="E11" s="81">
        <v>13</v>
      </c>
      <c r="F11" s="81">
        <v>15</v>
      </c>
      <c r="G11" s="82">
        <v>1</v>
      </c>
      <c r="H11" s="101"/>
      <c r="I11" s="101"/>
      <c r="J11" s="101"/>
      <c r="K11" s="101"/>
      <c r="M11" s="120"/>
      <c r="N11" s="120"/>
      <c r="O11" s="120"/>
      <c r="P11" s="120"/>
      <c r="Q11" s="120"/>
      <c r="R11" s="120"/>
      <c r="S11" s="120"/>
      <c r="T11" s="120"/>
      <c r="U11" s="120"/>
      <c r="V11" s="58"/>
      <c r="W11" s="58"/>
    </row>
    <row r="12" spans="1:23" x14ac:dyDescent="0.25">
      <c r="A12" s="41"/>
      <c r="B12" s="75" t="s">
        <v>60</v>
      </c>
      <c r="C12" s="80">
        <v>0</v>
      </c>
      <c r="D12" s="81">
        <v>1</v>
      </c>
      <c r="E12" s="81">
        <v>15</v>
      </c>
      <c r="F12" s="81">
        <v>14</v>
      </c>
      <c r="G12" s="82">
        <v>1</v>
      </c>
      <c r="H12" s="101"/>
      <c r="I12" s="101"/>
      <c r="J12" s="101"/>
      <c r="K12" s="101"/>
      <c r="L12" s="41"/>
      <c r="M12" s="120"/>
      <c r="N12" s="120"/>
      <c r="O12" s="120"/>
      <c r="P12" s="120"/>
      <c r="Q12" s="120"/>
      <c r="R12" s="120"/>
      <c r="S12" s="120"/>
      <c r="T12" s="120"/>
      <c r="U12" s="120"/>
      <c r="V12" s="58"/>
      <c r="W12" s="58"/>
    </row>
    <row r="13" spans="1:23" x14ac:dyDescent="0.25">
      <c r="A13" s="41"/>
      <c r="B13" s="75" t="s">
        <v>61</v>
      </c>
      <c r="C13" s="80">
        <v>0</v>
      </c>
      <c r="D13" s="81">
        <v>2</v>
      </c>
      <c r="E13" s="81">
        <v>9</v>
      </c>
      <c r="F13" s="81">
        <v>13</v>
      </c>
      <c r="G13" s="82">
        <v>6</v>
      </c>
      <c r="H13" s="101"/>
      <c r="I13" s="101"/>
      <c r="J13" s="101"/>
      <c r="K13" s="101"/>
      <c r="L13" s="41"/>
      <c r="M13" s="121"/>
      <c r="N13" s="121"/>
      <c r="O13" s="121"/>
      <c r="P13" s="121"/>
      <c r="Q13" s="120"/>
      <c r="R13" s="120"/>
      <c r="S13" s="120"/>
      <c r="T13" s="120"/>
      <c r="U13" s="120"/>
      <c r="V13" s="58"/>
      <c r="W13" s="58"/>
    </row>
    <row r="14" spans="1:23" x14ac:dyDescent="0.25">
      <c r="A14" s="41"/>
      <c r="B14" s="75" t="s">
        <v>62</v>
      </c>
      <c r="C14" s="80">
        <v>1</v>
      </c>
      <c r="D14" s="81">
        <v>1</v>
      </c>
      <c r="E14" s="81">
        <v>8</v>
      </c>
      <c r="F14" s="81">
        <v>12</v>
      </c>
      <c r="G14" s="82">
        <v>9</v>
      </c>
      <c r="H14" s="101"/>
      <c r="I14" s="101"/>
      <c r="J14" s="101"/>
      <c r="K14" s="101"/>
      <c r="L14" s="41"/>
      <c r="M14" s="121"/>
      <c r="N14" s="121"/>
      <c r="O14" s="121"/>
      <c r="P14" s="121"/>
      <c r="Q14" s="120"/>
      <c r="R14" s="120"/>
      <c r="S14" s="120"/>
      <c r="T14" s="120"/>
      <c r="U14" s="120"/>
      <c r="V14" s="58"/>
      <c r="W14" s="58"/>
    </row>
    <row r="15" spans="1:23" x14ac:dyDescent="0.25">
      <c r="A15" s="41"/>
      <c r="B15" s="75" t="s">
        <v>63</v>
      </c>
      <c r="C15" s="80">
        <v>0</v>
      </c>
      <c r="D15" s="81">
        <v>2</v>
      </c>
      <c r="E15" s="81">
        <v>9</v>
      </c>
      <c r="F15" s="81">
        <v>10</v>
      </c>
      <c r="G15" s="82">
        <v>8</v>
      </c>
      <c r="H15" s="101"/>
      <c r="I15" s="101"/>
      <c r="J15" s="101"/>
      <c r="K15" s="101"/>
      <c r="L15" s="41"/>
      <c r="M15" s="120"/>
      <c r="N15" s="120"/>
      <c r="O15" s="120"/>
      <c r="P15" s="120"/>
      <c r="Q15" s="120"/>
      <c r="R15" s="120"/>
      <c r="S15" s="120"/>
      <c r="T15" s="120"/>
      <c r="U15" s="120"/>
      <c r="V15" s="58"/>
      <c r="W15" s="58"/>
    </row>
    <row r="16" spans="1:23" ht="15.75" thickBot="1" x14ac:dyDescent="0.3">
      <c r="A16" s="41"/>
      <c r="B16" s="76" t="s">
        <v>64</v>
      </c>
      <c r="C16" s="83">
        <v>1</v>
      </c>
      <c r="D16" s="84">
        <v>2</v>
      </c>
      <c r="E16" s="84">
        <v>6</v>
      </c>
      <c r="F16" s="84">
        <v>11</v>
      </c>
      <c r="G16" s="85">
        <v>11</v>
      </c>
      <c r="H16" s="101"/>
      <c r="I16" s="101"/>
      <c r="J16" s="101"/>
      <c r="K16" s="101"/>
      <c r="L16" s="41"/>
      <c r="M16" s="120"/>
      <c r="N16" s="120"/>
      <c r="O16" s="120"/>
      <c r="P16" s="120"/>
      <c r="Q16" s="120"/>
      <c r="R16" s="120"/>
      <c r="S16" s="120"/>
      <c r="T16" s="120"/>
      <c r="U16" s="120"/>
      <c r="V16" s="58"/>
      <c r="W16" s="58"/>
    </row>
    <row r="17" spans="1:23" x14ac:dyDescent="0.25">
      <c r="A17" s="41"/>
      <c r="B17" s="41" t="e">
        <f>#REF!</f>
        <v>#REF!</v>
      </c>
      <c r="C17" s="41"/>
      <c r="D17" s="42" t="e">
        <f>#REF!</f>
        <v>#REF!</v>
      </c>
      <c r="E17" s="43" t="e">
        <f>#REF!</f>
        <v>#REF!</v>
      </c>
      <c r="F17" s="43" t="e">
        <f>#REF!</f>
        <v>#REF!</v>
      </c>
      <c r="G17" s="41"/>
      <c r="H17" s="41"/>
      <c r="I17" s="41"/>
      <c r="J17" s="41"/>
      <c r="K17" s="41"/>
      <c r="L17" s="41"/>
      <c r="M17" s="120"/>
      <c r="N17" s="120"/>
      <c r="O17" s="120"/>
      <c r="P17" s="120"/>
      <c r="Q17" s="120"/>
      <c r="R17" s="120"/>
      <c r="S17" s="120"/>
      <c r="T17" s="120"/>
      <c r="U17" s="120"/>
      <c r="V17" s="58"/>
      <c r="W17" s="58"/>
    </row>
    <row r="18" spans="1:23" ht="15.75" thickBot="1" x14ac:dyDescent="0.3">
      <c r="A18" s="41"/>
      <c r="B18" s="41"/>
      <c r="C18" s="41"/>
      <c r="D18" s="42"/>
      <c r="E18" s="43"/>
      <c r="F18" s="43"/>
      <c r="G18" s="41"/>
      <c r="H18" s="41"/>
      <c r="I18" s="41"/>
      <c r="J18" s="41"/>
      <c r="K18" s="41"/>
      <c r="L18" s="41"/>
      <c r="M18" s="120"/>
      <c r="N18" s="120"/>
      <c r="O18" s="120"/>
      <c r="P18" s="120"/>
      <c r="Q18" s="120"/>
      <c r="R18" s="120"/>
      <c r="S18" s="120"/>
      <c r="T18" s="120"/>
      <c r="U18" s="120"/>
      <c r="V18" s="58"/>
      <c r="W18" s="58"/>
    </row>
    <row r="19" spans="1:23" ht="47.25" customHeight="1" thickTop="1" thickBot="1" x14ac:dyDescent="0.3">
      <c r="A19" s="41"/>
      <c r="B19" s="98" t="s">
        <v>78</v>
      </c>
      <c r="C19" s="93" t="s">
        <v>76</v>
      </c>
      <c r="D19" s="97" t="s">
        <v>77</v>
      </c>
      <c r="E19" s="93" t="s">
        <v>72</v>
      </c>
      <c r="F19" s="93" t="s">
        <v>73</v>
      </c>
      <c r="G19" s="94" t="s">
        <v>74</v>
      </c>
      <c r="H19" s="107"/>
      <c r="I19" s="107"/>
      <c r="J19" s="107"/>
      <c r="K19" s="107"/>
      <c r="L19" s="41"/>
      <c r="M19" s="120"/>
      <c r="N19" s="120"/>
      <c r="O19" s="120"/>
      <c r="P19" s="120"/>
      <c r="Q19" s="120"/>
      <c r="R19" s="120"/>
      <c r="S19" s="120"/>
      <c r="T19" s="120"/>
      <c r="U19" s="120"/>
      <c r="V19" s="58"/>
      <c r="W19" s="58"/>
    </row>
    <row r="20" spans="1:23" x14ac:dyDescent="0.25">
      <c r="B20" s="86">
        <v>6</v>
      </c>
      <c r="C20" s="89" t="s">
        <v>67</v>
      </c>
      <c r="D20" s="89">
        <f>SUM(C5:C16)</f>
        <v>7</v>
      </c>
      <c r="E20" s="89">
        <v>24</v>
      </c>
      <c r="F20" s="89">
        <f>E20*60%</f>
        <v>14.399999999999999</v>
      </c>
      <c r="G20" s="99">
        <f>D20*F20</f>
        <v>100.79999999999998</v>
      </c>
      <c r="H20" s="108"/>
      <c r="I20" s="108"/>
      <c r="J20" s="108"/>
      <c r="K20" s="108"/>
      <c r="M20" s="120"/>
      <c r="N20" s="120"/>
      <c r="O20" s="120"/>
      <c r="P20" s="120"/>
      <c r="Q20" s="120"/>
      <c r="R20" s="120"/>
      <c r="S20" s="120"/>
      <c r="T20" s="120"/>
      <c r="U20" s="120"/>
      <c r="V20" s="58"/>
      <c r="W20" s="58"/>
    </row>
    <row r="21" spans="1:23" x14ac:dyDescent="0.25">
      <c r="B21" s="87">
        <v>5</v>
      </c>
      <c r="C21" s="90" t="s">
        <v>68</v>
      </c>
      <c r="D21" s="90">
        <f>SUM(D5:D16)</f>
        <v>30</v>
      </c>
      <c r="E21" s="90">
        <v>17.5</v>
      </c>
      <c r="F21" s="90">
        <f>E21*60%</f>
        <v>10.5</v>
      </c>
      <c r="G21" s="100">
        <f>D21*F21</f>
        <v>315</v>
      </c>
      <c r="H21" s="108"/>
      <c r="I21" s="108"/>
      <c r="J21" s="108"/>
      <c r="K21" s="108"/>
      <c r="M21" s="120"/>
      <c r="N21" s="120"/>
      <c r="O21" s="120"/>
      <c r="P21" s="120"/>
      <c r="Q21" s="120"/>
      <c r="R21" s="120"/>
      <c r="S21" s="120"/>
      <c r="T21" s="120"/>
      <c r="U21" s="120"/>
      <c r="V21" s="58"/>
      <c r="W21" s="58"/>
    </row>
    <row r="22" spans="1:23" x14ac:dyDescent="0.25">
      <c r="B22" s="87">
        <v>4</v>
      </c>
      <c r="C22" s="90" t="s">
        <v>69</v>
      </c>
      <c r="D22" s="90">
        <f>SUM(E5:E16)</f>
        <v>127</v>
      </c>
      <c r="E22" s="90">
        <v>10.3</v>
      </c>
      <c r="F22" s="96">
        <f t="shared" ref="F22:F23" si="0">E22*60%</f>
        <v>6.1800000000000006</v>
      </c>
      <c r="G22" s="100">
        <f t="shared" ref="G22:G23" si="1">D22*F22</f>
        <v>784.86000000000013</v>
      </c>
      <c r="H22" s="108"/>
      <c r="I22" s="108"/>
      <c r="J22" s="108"/>
      <c r="K22" s="108"/>
      <c r="M22" s="120"/>
      <c r="N22" s="120"/>
      <c r="O22" s="120"/>
      <c r="P22" s="120"/>
      <c r="Q22" s="120"/>
      <c r="R22" s="120"/>
      <c r="S22" s="120"/>
      <c r="T22" s="120"/>
      <c r="U22" s="120"/>
      <c r="V22" s="58"/>
      <c r="W22" s="58"/>
    </row>
    <row r="23" spans="1:23" x14ac:dyDescent="0.25">
      <c r="B23" s="87">
        <v>3</v>
      </c>
      <c r="C23" s="90" t="s">
        <v>70</v>
      </c>
      <c r="D23" s="90">
        <f>SUM(F5:F16)</f>
        <v>137</v>
      </c>
      <c r="E23" s="90">
        <v>4</v>
      </c>
      <c r="F23" s="90">
        <f t="shared" si="0"/>
        <v>2.4</v>
      </c>
      <c r="G23" s="100">
        <f t="shared" si="1"/>
        <v>328.8</v>
      </c>
      <c r="H23" s="108"/>
      <c r="I23" s="108"/>
      <c r="J23" s="108"/>
      <c r="K23" s="108"/>
      <c r="M23" s="120"/>
      <c r="N23" s="120"/>
      <c r="O23" s="120"/>
      <c r="P23" s="120"/>
      <c r="Q23" s="120"/>
      <c r="R23" s="120"/>
      <c r="S23" s="120"/>
      <c r="T23" s="120"/>
      <c r="U23" s="120"/>
      <c r="V23" s="58"/>
      <c r="W23" s="58"/>
    </row>
    <row r="24" spans="1:23" ht="15.75" thickBot="1" x14ac:dyDescent="0.3">
      <c r="B24" s="88">
        <v>2</v>
      </c>
      <c r="C24" s="91" t="s">
        <v>71</v>
      </c>
      <c r="D24" s="91">
        <f>SUM(G5:G16)</f>
        <v>63</v>
      </c>
      <c r="E24" s="91">
        <v>0</v>
      </c>
      <c r="F24" s="91">
        <v>0</v>
      </c>
      <c r="G24" s="92">
        <f>D24*F24</f>
        <v>0</v>
      </c>
      <c r="H24" s="106"/>
      <c r="I24" s="106"/>
      <c r="J24" s="106"/>
      <c r="K24" s="106"/>
      <c r="P24" s="58"/>
      <c r="Q24" s="58"/>
      <c r="R24" s="58"/>
      <c r="S24" s="58"/>
      <c r="T24" s="58"/>
      <c r="U24" s="58"/>
      <c r="V24" s="58"/>
      <c r="W24" s="58"/>
    </row>
  </sheetData>
  <sheetProtection algorithmName="SHA-512" hashValue="41Ui+1y+0ouxNEHD8GJWG4+0i/gioVmVRwYRV6HzPLL0wVtQIP9kO1LASLX5HbAQGayhsimbk8TDAeQO4Rtfdg==" saltValue="oGl8iNVjldkiCOkxKSYEiA==" spinCount="100000" sheet="1" objects="1" scenarios="1"/>
  <mergeCells count="2">
    <mergeCell ref="C3:G3"/>
    <mergeCell ref="B1:F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showGridLines="0" workbookViewId="0">
      <selection activeCell="D59" sqref="D59"/>
    </sheetView>
  </sheetViews>
  <sheetFormatPr defaultRowHeight="15" x14ac:dyDescent="0.25"/>
  <cols>
    <col min="1" max="1" width="2.85546875" customWidth="1"/>
    <col min="2" max="2" width="27.5703125" bestFit="1" customWidth="1"/>
    <col min="3" max="3" width="12.85546875" bestFit="1" customWidth="1"/>
    <col min="4" max="4" width="11" bestFit="1" customWidth="1"/>
    <col min="5" max="5" width="11.5703125" customWidth="1"/>
    <col min="6" max="6" width="11.28515625" customWidth="1"/>
    <col min="7" max="10" width="13.7109375" customWidth="1"/>
  </cols>
  <sheetData>
    <row r="1" spans="2:10" ht="23.25" customHeight="1" x14ac:dyDescent="0.25">
      <c r="B1" s="132" t="s">
        <v>96</v>
      </c>
      <c r="C1" s="66"/>
      <c r="D1" s="66"/>
      <c r="E1" s="66"/>
      <c r="F1" s="66"/>
    </row>
    <row r="2" spans="2:10" ht="16.5" customHeight="1" thickBot="1" x14ac:dyDescent="0.3">
      <c r="B2" s="67"/>
      <c r="C2" s="67"/>
      <c r="D2" s="67"/>
      <c r="E2" s="67"/>
      <c r="F2" s="67"/>
    </row>
    <row r="3" spans="2:10" ht="15.75" thickTop="1" x14ac:dyDescent="0.25">
      <c r="B3" s="22"/>
      <c r="C3" s="64" t="s">
        <v>90</v>
      </c>
      <c r="D3" s="64" t="s">
        <v>91</v>
      </c>
      <c r="E3" s="64" t="s">
        <v>92</v>
      </c>
      <c r="F3" s="109" t="s">
        <v>85</v>
      </c>
      <c r="G3" s="64" t="s">
        <v>89</v>
      </c>
      <c r="H3" s="64" t="s">
        <v>86</v>
      </c>
      <c r="I3" s="64" t="s">
        <v>88</v>
      </c>
      <c r="J3" s="111" t="s">
        <v>87</v>
      </c>
    </row>
    <row r="4" spans="2:10" x14ac:dyDescent="0.25">
      <c r="B4" s="21"/>
      <c r="C4" s="65"/>
      <c r="D4" s="65"/>
      <c r="E4" s="65"/>
      <c r="F4" s="110"/>
      <c r="G4" s="65"/>
      <c r="H4" s="65"/>
      <c r="I4" s="65"/>
      <c r="J4" s="112"/>
    </row>
    <row r="5" spans="2:10" x14ac:dyDescent="0.25">
      <c r="B5" s="23"/>
      <c r="C5" s="65"/>
      <c r="D5" s="65"/>
      <c r="E5" s="65"/>
      <c r="F5" s="110"/>
      <c r="G5" s="65"/>
      <c r="H5" s="65"/>
      <c r="I5" s="65"/>
      <c r="J5" s="112"/>
    </row>
    <row r="6" spans="2:10" ht="15" customHeight="1" thickBot="1" x14ac:dyDescent="0.3">
      <c r="B6" s="24" t="s">
        <v>20</v>
      </c>
      <c r="C6" s="10">
        <f>SUM(Consumo!E4:E24)</f>
        <v>4820.8886789473681</v>
      </c>
      <c r="D6" s="10">
        <f>SUM(Consumo!E4:E24)-Consumo!E23</f>
        <v>5379.1415789473685</v>
      </c>
      <c r="E6" s="10">
        <f>SUM(Consumo!E4:E23)</f>
        <v>6019.7286789473683</v>
      </c>
      <c r="F6" s="40">
        <f>SUM(Consumo!E4:E21)</f>
        <v>6577.9815789473687</v>
      </c>
      <c r="G6" s="25">
        <f>SUM(Consumo!E4:E24)-Consumo!E16+Inputs!C3*0.0585*Consumo!F16</f>
        <v>7838.2571000000007</v>
      </c>
      <c r="H6" s="25">
        <f>SUM(Consumo!E4:E24)-Consumo!E23-Consumo!E16+Inputs!C3*0.0585*Consumo!F16</f>
        <v>8396.51</v>
      </c>
      <c r="I6" s="25">
        <f>SUM(Consumo!E4:E23)-Consumo!E16+Inputs!C3*0.0585*Consumo!F16</f>
        <v>9037.0971000000009</v>
      </c>
      <c r="J6" s="30">
        <f>SUM(Consumo!E4:E21)-Consumo!E16+Inputs!C3*0.0585*Consumo!F16</f>
        <v>9595.35</v>
      </c>
    </row>
    <row r="7" spans="2:10" ht="15" customHeight="1" thickBot="1" x14ac:dyDescent="0.3">
      <c r="C7" s="39"/>
      <c r="D7" s="39"/>
      <c r="E7" s="39"/>
      <c r="G7" s="34"/>
      <c r="H7" s="34"/>
      <c r="I7" s="34"/>
    </row>
    <row r="8" spans="2:10" x14ac:dyDescent="0.25">
      <c r="B8" s="29" t="s">
        <v>21</v>
      </c>
      <c r="C8" s="26">
        <f>C6/12</f>
        <v>401.74072324561399</v>
      </c>
      <c r="D8" s="26">
        <f>D6/12</f>
        <v>448.26179824561405</v>
      </c>
      <c r="E8" s="26">
        <f>E6/12</f>
        <v>501.64405657894736</v>
      </c>
      <c r="F8" s="26">
        <f>F6/12</f>
        <v>548.16513157894735</v>
      </c>
      <c r="G8" s="26">
        <f>G6/12</f>
        <v>653.18809166666676</v>
      </c>
      <c r="H8" s="26">
        <f>H6/12</f>
        <v>699.70916666666665</v>
      </c>
      <c r="I8" s="26">
        <f>I6/12</f>
        <v>753.09142500000007</v>
      </c>
      <c r="J8" s="31">
        <f>J6/12</f>
        <v>799.61250000000007</v>
      </c>
    </row>
    <row r="9" spans="2:10" x14ac:dyDescent="0.25">
      <c r="B9" s="28" t="s">
        <v>19</v>
      </c>
      <c r="C9" s="113">
        <f>0.1585*1.23</f>
        <v>0.19495499999999999</v>
      </c>
      <c r="D9" s="114"/>
      <c r="E9" s="114"/>
      <c r="F9" s="114"/>
      <c r="G9" s="114"/>
      <c r="H9" s="114"/>
      <c r="I9" s="114"/>
      <c r="J9" s="114"/>
    </row>
    <row r="10" spans="2:10" x14ac:dyDescent="0.25">
      <c r="B10" s="28" t="s">
        <v>22</v>
      </c>
      <c r="C10" s="113">
        <f>1.23*0.2913*365/12</f>
        <v>10.898261249999999</v>
      </c>
      <c r="D10" s="114"/>
      <c r="E10" s="114"/>
      <c r="F10" s="114"/>
      <c r="G10" s="114"/>
      <c r="H10" s="114"/>
      <c r="I10" s="114"/>
      <c r="J10" s="114"/>
    </row>
    <row r="11" spans="2:10" ht="15.75" thickBot="1" x14ac:dyDescent="0.3">
      <c r="B11" s="24" t="s">
        <v>25</v>
      </c>
      <c r="C11" s="27">
        <f>$C$9*C8+$C$10+2.98</f>
        <v>92.199623950348681</v>
      </c>
      <c r="D11" s="27">
        <f>$C$9*D8+$C$10+2.98</f>
        <v>101.2691401269737</v>
      </c>
      <c r="E11" s="27">
        <f>$C$9*E8+$C$10+2.98</f>
        <v>111.67627830034868</v>
      </c>
      <c r="F11" s="27">
        <f>$C$9*F8+$C$10+2.98</f>
        <v>120.74579447697369</v>
      </c>
      <c r="G11" s="27">
        <f>$C$9*G8+$C$10+2.98</f>
        <v>141.22054566087499</v>
      </c>
      <c r="H11" s="27">
        <f>$C$9*H8+$C$10+2.98</f>
        <v>150.29006183749996</v>
      </c>
      <c r="I11" s="27">
        <f>$C$9*I8+$C$10+2.98</f>
        <v>160.69720001087498</v>
      </c>
      <c r="J11" s="32">
        <f>$C$9*J8+$C$10+2.98</f>
        <v>169.76671618749998</v>
      </c>
    </row>
    <row r="12" spans="2:10" ht="15.75" thickBot="1" x14ac:dyDescent="0.3">
      <c r="C12" s="73"/>
      <c r="D12" s="117"/>
      <c r="E12" s="117"/>
      <c r="F12" s="117"/>
      <c r="G12" s="118"/>
      <c r="H12" s="118"/>
      <c r="I12" s="118"/>
      <c r="J12" s="118"/>
    </row>
    <row r="13" spans="2:10" x14ac:dyDescent="0.25">
      <c r="B13" s="29" t="s">
        <v>23</v>
      </c>
      <c r="C13" s="6">
        <f>(($C$9/1.23)*C8+($C$10/1.23))*13.8%</f>
        <v>10.010006589551315</v>
      </c>
      <c r="D13" s="6">
        <f>(($C$9/1.23)*D8+($C$10/1.23))*13.8%</f>
        <v>11.027562063026318</v>
      </c>
      <c r="E13" s="6">
        <f>(($C$9/1.23)*E8+($C$10/1.23))*13.8%</f>
        <v>12.195192199551316</v>
      </c>
      <c r="F13" s="6">
        <f t="shared" ref="F13:I13" si="0">(($C$9/1.23)*F8+($C$10/1.23))*13.8%</f>
        <v>13.212747673026318</v>
      </c>
      <c r="G13" s="6">
        <f t="shared" si="0"/>
        <v>15.509914879025004</v>
      </c>
      <c r="H13" s="6">
        <f t="shared" si="0"/>
        <v>16.527470352500004</v>
      </c>
      <c r="I13" s="6">
        <f t="shared" si="0"/>
        <v>17.695100489025002</v>
      </c>
      <c r="J13" s="29">
        <f>(($C$9/1.23)*J8+($C$10/1.23))*13.8%</f>
        <v>18.712655962500005</v>
      </c>
    </row>
    <row r="14" spans="2:10" x14ac:dyDescent="0.25">
      <c r="B14" s="28" t="s">
        <v>24</v>
      </c>
      <c r="C14" s="113">
        <f>0.2651*365/12</f>
        <v>8.0634583333333332</v>
      </c>
      <c r="D14" s="114"/>
      <c r="E14" s="114"/>
      <c r="F14" s="114"/>
      <c r="G14" s="114"/>
      <c r="H14" s="114"/>
      <c r="I14" s="114"/>
      <c r="J14" s="114"/>
    </row>
    <row r="15" spans="2:10" ht="15.75" thickBot="1" x14ac:dyDescent="0.3">
      <c r="B15" s="24" t="s">
        <v>35</v>
      </c>
      <c r="C15" s="12">
        <f>$C$9*C8+$C$10-(C13+$C$14)*1.23+2.98</f>
        <v>69.969262095200563</v>
      </c>
      <c r="D15" s="12">
        <f t="shared" ref="D15:I15" si="1">$C$9*D8+$C$10-(D13+$C$14)*1.23+2.98</f>
        <v>77.78718503945133</v>
      </c>
      <c r="E15" s="12">
        <f t="shared" si="1"/>
        <v>86.75813814490057</v>
      </c>
      <c r="F15" s="12">
        <f t="shared" si="1"/>
        <v>94.57606108915131</v>
      </c>
      <c r="G15" s="12">
        <f t="shared" si="1"/>
        <v>112.22529660967425</v>
      </c>
      <c r="H15" s="12">
        <f t="shared" si="1"/>
        <v>120.04321955392497</v>
      </c>
      <c r="I15" s="12">
        <f t="shared" si="1"/>
        <v>129.01417265937422</v>
      </c>
      <c r="J15" s="33">
        <f>$C$9*J8+$C$10-(J13+$C$14)*1.23+2.98</f>
        <v>136.83209560362499</v>
      </c>
    </row>
    <row r="16" spans="2:10" ht="22.5" customHeight="1" x14ac:dyDescent="0.25">
      <c r="E16" s="1"/>
    </row>
  </sheetData>
  <sheetProtection algorithmName="SHA-512" hashValue="EA00cRl6qbJLh4rWcajq7lRmBiz2A7bGa6ZcFYnpXYlo4n5QXXcwGqjIyyK1SbgqI1SKyshTq839Itx42eDWRQ==" saltValue="k6u4JVj4CN3FNtNxxjFcqw==" spinCount="100000" sheet="1" objects="1" scenarios="1"/>
  <mergeCells count="12">
    <mergeCell ref="I3:I5"/>
    <mergeCell ref="J3:J5"/>
    <mergeCell ref="C9:J9"/>
    <mergeCell ref="C10:J10"/>
    <mergeCell ref="C14:J14"/>
    <mergeCell ref="C3:C5"/>
    <mergeCell ref="D3:D5"/>
    <mergeCell ref="E3:E5"/>
    <mergeCell ref="F3:F5"/>
    <mergeCell ref="G3:G5"/>
    <mergeCell ref="H3:H5"/>
    <mergeCell ref="B1:F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workbookViewId="0">
      <selection activeCell="B44" sqref="B44"/>
    </sheetView>
  </sheetViews>
  <sheetFormatPr defaultRowHeight="15" x14ac:dyDescent="0.25"/>
  <cols>
    <col min="1" max="1" width="2.85546875" customWidth="1"/>
    <col min="2" max="3" width="13.7109375" customWidth="1"/>
    <col min="4" max="4" width="15.85546875" bestFit="1" customWidth="1"/>
    <col min="5" max="5" width="23.42578125" bestFit="1" customWidth="1"/>
    <col min="6" max="6" width="15.85546875" customWidth="1"/>
    <col min="7" max="7" width="23.42578125" bestFit="1" customWidth="1"/>
    <col min="8" max="8" width="15.85546875" bestFit="1" customWidth="1"/>
    <col min="9" max="9" width="23.42578125" bestFit="1" customWidth="1"/>
    <col min="10" max="10" width="17.28515625" bestFit="1" customWidth="1"/>
    <col min="11" max="11" width="23.42578125" bestFit="1" customWidth="1"/>
    <col min="12" max="12" width="23.42578125" customWidth="1"/>
    <col min="13" max="13" width="15.85546875" bestFit="1" customWidth="1"/>
    <col min="14" max="14" width="23.42578125" bestFit="1" customWidth="1"/>
  </cols>
  <sheetData>
    <row r="1" spans="1:11" ht="15" customHeight="1" x14ac:dyDescent="0.25">
      <c r="B1" s="132" t="s">
        <v>96</v>
      </c>
      <c r="C1" s="132"/>
      <c r="D1" s="132"/>
      <c r="E1" s="132"/>
      <c r="F1" s="132"/>
    </row>
    <row r="2" spans="1:11" ht="16.5" customHeight="1" thickBot="1" x14ac:dyDescent="0.3">
      <c r="B2" s="167"/>
      <c r="C2" s="167"/>
      <c r="D2" s="167"/>
      <c r="E2" s="167"/>
      <c r="F2" s="167"/>
    </row>
    <row r="3" spans="1:11" ht="16.5" customHeight="1" thickTop="1" thickBot="1" x14ac:dyDescent="0.3">
      <c r="B3" s="171"/>
      <c r="C3" s="172"/>
      <c r="D3" s="60" t="s">
        <v>93</v>
      </c>
      <c r="E3" s="61"/>
      <c r="F3" s="62" t="s">
        <v>34</v>
      </c>
      <c r="G3" s="63"/>
      <c r="H3" s="62" t="s">
        <v>83</v>
      </c>
      <c r="I3" s="63"/>
      <c r="J3" s="62" t="s">
        <v>84</v>
      </c>
      <c r="K3" s="63"/>
    </row>
    <row r="4" spans="1:11" ht="16.5" thickTop="1" thickBot="1" x14ac:dyDescent="0.3">
      <c r="A4" s="41" t="s">
        <v>46</v>
      </c>
      <c r="B4" s="13" t="s">
        <v>26</v>
      </c>
      <c r="C4" s="4" t="s">
        <v>31</v>
      </c>
      <c r="D4" s="13" t="s">
        <v>27</v>
      </c>
      <c r="E4" s="14" t="s">
        <v>28</v>
      </c>
      <c r="F4" s="13" t="s">
        <v>27</v>
      </c>
      <c r="G4" s="14" t="s">
        <v>28</v>
      </c>
      <c r="H4" s="13" t="s">
        <v>27</v>
      </c>
      <c r="I4" s="14" t="s">
        <v>28</v>
      </c>
      <c r="J4" s="13" t="s">
        <v>27</v>
      </c>
      <c r="K4" s="14" t="s">
        <v>28</v>
      </c>
    </row>
    <row r="5" spans="1:11" x14ac:dyDescent="0.25">
      <c r="A5" s="41" t="e">
        <f>#REF!*(1-#REF!)/26</f>
        <v>#REF!</v>
      </c>
      <c r="B5" s="168">
        <v>2016</v>
      </c>
      <c r="C5" s="37">
        <f>Pagamentos!C9</f>
        <v>0.19495499999999999</v>
      </c>
      <c r="D5" s="15">
        <f>-1*Consumo!$E$24*C5</f>
        <v>233.71985219999996</v>
      </c>
      <c r="E5" s="16">
        <f>Inputs!C9-D5</f>
        <v>2070.2801478000001</v>
      </c>
      <c r="F5" s="15">
        <f>(Pagamentos!$J$6-Pagamentos!$F$6)*C5</f>
        <v>588.25106052631577</v>
      </c>
      <c r="G5" s="16">
        <f>Inputs!C7-F5</f>
        <v>1411.7489394736842</v>
      </c>
      <c r="H5" s="104">
        <f>-1*Consumo!$E$23*C5</f>
        <v>108.83419411950001</v>
      </c>
      <c r="I5" s="16">
        <f>Inputs!C8-H5</f>
        <v>691.16580588049999</v>
      </c>
      <c r="J5" s="15">
        <f>(Pagamentos!$J$6-Pagamentos!$C$6)*C5</f>
        <v>930.80510684581589</v>
      </c>
      <c r="K5" s="16">
        <f>SUM(Inputs!C7:C9)-J5</f>
        <v>4173.1948931541838</v>
      </c>
    </row>
    <row r="6" spans="1:11" x14ac:dyDescent="0.25">
      <c r="A6" s="41" t="e">
        <f>#REF!*(1-#REF!)/26</f>
        <v>#REF!</v>
      </c>
      <c r="B6" s="169">
        <f>B5+1</f>
        <v>2017</v>
      </c>
      <c r="C6" s="8">
        <f>C5*(1+2.3%)</f>
        <v>0.19943896499999997</v>
      </c>
      <c r="D6" s="17">
        <f>-1*Consumo!$E$24*C6</f>
        <v>239.09540880059996</v>
      </c>
      <c r="E6" s="18">
        <f>MAX(0,E5-D6)</f>
        <v>1831.1847389994002</v>
      </c>
      <c r="F6" s="17">
        <f>(Pagamentos!$J$6-Pagamentos!$F$6)*C6</f>
        <v>601.78083491842096</v>
      </c>
      <c r="G6" s="18">
        <f>MAX(0,G5-F6)</f>
        <v>809.96810455526327</v>
      </c>
      <c r="H6" s="105">
        <f>-1*Consumo!$E$23*C6</f>
        <v>111.33738058424849</v>
      </c>
      <c r="I6" s="18">
        <f>MAX(0,I5-H6)</f>
        <v>579.82842529625145</v>
      </c>
      <c r="J6" s="17">
        <f>(Pagamentos!$J$6-Pagamentos!$C$6)*C6</f>
        <v>952.21362430326951</v>
      </c>
      <c r="K6" s="18">
        <f>MAX(0,K5-J6)</f>
        <v>3220.9812688509141</v>
      </c>
    </row>
    <row r="7" spans="1:11" x14ac:dyDescent="0.25">
      <c r="A7" s="41" t="e">
        <f>#REF!*(1-#REF!)/26</f>
        <v>#REF!</v>
      </c>
      <c r="B7" s="169">
        <f t="shared" ref="B7:B10" si="0">B6+1</f>
        <v>2018</v>
      </c>
      <c r="C7" s="8">
        <f t="shared" ref="C7:C13" si="1">C6*(1+2.3%)</f>
        <v>0.20402606119499994</v>
      </c>
      <c r="D7" s="17">
        <f>-1*Consumo!$E$24*C7</f>
        <v>244.59460320301372</v>
      </c>
      <c r="E7" s="18">
        <f t="shared" ref="E7:E13" si="2">MAX(0,E6-D7)</f>
        <v>1586.5901357963864</v>
      </c>
      <c r="F7" s="17">
        <f>(Pagamentos!$J$6-Pagamentos!$F$6)*C7</f>
        <v>615.62179412154455</v>
      </c>
      <c r="G7" s="18">
        <f>MAX(0,G6-F7)</f>
        <v>194.34631043371871</v>
      </c>
      <c r="H7" s="105">
        <f>-1*Consumo!$E$23*C7</f>
        <v>113.8981403376862</v>
      </c>
      <c r="I7" s="18">
        <f t="shared" ref="I7:I10" si="3">MAX(0,I6-H7)</f>
        <v>465.93028495856527</v>
      </c>
      <c r="J7" s="17">
        <f>(Pagamentos!$J$6-Pagamentos!$C$6)*C7</f>
        <v>974.11453766224463</v>
      </c>
      <c r="K7" s="18">
        <f t="shared" ref="K7:K13" si="4">MAX(0,K6-J7)</f>
        <v>2246.8667311886693</v>
      </c>
    </row>
    <row r="8" spans="1:11" x14ac:dyDescent="0.25">
      <c r="A8" s="41" t="e">
        <f>#REF!*(1-#REF!)/26</f>
        <v>#REF!</v>
      </c>
      <c r="B8" s="169">
        <f t="shared" si="0"/>
        <v>2019</v>
      </c>
      <c r="C8" s="8">
        <f t="shared" si="1"/>
        <v>0.20871866060248492</v>
      </c>
      <c r="D8" s="17">
        <f>-1*Consumo!$E$24*C8</f>
        <v>250.220279076683</v>
      </c>
      <c r="E8" s="18">
        <f t="shared" si="2"/>
        <v>1336.3698567197034</v>
      </c>
      <c r="F8" s="17">
        <f>(Pagamentos!$J$6-Pagamentos!$F$6)*C8</f>
        <v>629.7810953863401</v>
      </c>
      <c r="G8" s="18">
        <f>MAX(0,G7-F8)</f>
        <v>0</v>
      </c>
      <c r="H8" s="105">
        <f>-1*Consumo!$E$23*C8</f>
        <v>116.51779756545297</v>
      </c>
      <c r="I8" s="18">
        <f t="shared" si="3"/>
        <v>349.41248739311231</v>
      </c>
      <c r="J8" s="17">
        <f>(Pagamentos!$J$6-Pagamentos!$C$6)*C8</f>
        <v>996.51917202847619</v>
      </c>
      <c r="K8" s="18">
        <f t="shared" si="4"/>
        <v>1250.3475591601932</v>
      </c>
    </row>
    <row r="9" spans="1:11" x14ac:dyDescent="0.25">
      <c r="A9" s="41" t="e">
        <f>#REF!*(1-#REF!)/26</f>
        <v>#REF!</v>
      </c>
      <c r="B9" s="169">
        <f t="shared" si="0"/>
        <v>2020</v>
      </c>
      <c r="C9" s="38">
        <f t="shared" si="1"/>
        <v>0.21351918979634205</v>
      </c>
      <c r="D9" s="17">
        <f>-1*Consumo!$E$24*C9</f>
        <v>255.97534549544667</v>
      </c>
      <c r="E9" s="18">
        <f t="shared" si="2"/>
        <v>1080.3945112242568</v>
      </c>
      <c r="F9" s="17">
        <f>(Pagamentos!$J$6-Pagamentos!$F$6)*C9</f>
        <v>644.26606058022583</v>
      </c>
      <c r="G9" s="18">
        <f t="shared" ref="G9:G13" si="5">MAX(0,G8-F9)</f>
        <v>0</v>
      </c>
      <c r="H9" s="105">
        <f>-1*Consumo!$E$23*C9</f>
        <v>119.19770690945838</v>
      </c>
      <c r="I9" s="18">
        <f t="shared" si="3"/>
        <v>230.21478048365395</v>
      </c>
      <c r="J9" s="17">
        <f>(Pagamentos!$J$6-Pagamentos!$C$6)*C9</f>
        <v>1019.4391129851309</v>
      </c>
      <c r="K9" s="18">
        <f t="shared" si="4"/>
        <v>230.90844617506229</v>
      </c>
    </row>
    <row r="10" spans="1:11" x14ac:dyDescent="0.25">
      <c r="A10" s="41" t="e">
        <f>#REF!*(1-#REF!)/26</f>
        <v>#REF!</v>
      </c>
      <c r="B10" s="169">
        <f t="shared" si="0"/>
        <v>2021</v>
      </c>
      <c r="C10" s="8">
        <f t="shared" si="1"/>
        <v>0.21843013116165788</v>
      </c>
      <c r="D10" s="17">
        <f>-1*Consumo!$E$24*C10</f>
        <v>261.8627784418419</v>
      </c>
      <c r="E10" s="18">
        <f t="shared" si="2"/>
        <v>818.53173278241491</v>
      </c>
      <c r="F10" s="17">
        <f>(Pagamentos!$J$6-Pagamentos!$F$6)*C10</f>
        <v>659.08417997357083</v>
      </c>
      <c r="G10" s="18">
        <f t="shared" si="5"/>
        <v>0</v>
      </c>
      <c r="H10" s="105">
        <f>-1*Consumo!$E$23*C10</f>
        <v>121.9392541683759</v>
      </c>
      <c r="I10" s="18">
        <f t="shared" si="3"/>
        <v>108.27552631527806</v>
      </c>
      <c r="J10" s="17">
        <f>(Pagamentos!$J$6-Pagamentos!$C$6)*C10</f>
        <v>1042.8862125837888</v>
      </c>
      <c r="K10" s="18">
        <f t="shared" si="4"/>
        <v>0</v>
      </c>
    </row>
    <row r="11" spans="1:11" x14ac:dyDescent="0.25">
      <c r="A11" s="41" t="e">
        <f>#REF!*(1-#REF!)/26</f>
        <v>#REF!</v>
      </c>
      <c r="B11" s="169">
        <f>B10+1</f>
        <v>2022</v>
      </c>
      <c r="C11" s="8">
        <f t="shared" si="1"/>
        <v>0.22345402417837598</v>
      </c>
      <c r="D11" s="17">
        <f>-1*Consumo!$E$24*C11</f>
        <v>267.88562234600425</v>
      </c>
      <c r="E11" s="18">
        <f t="shared" si="2"/>
        <v>550.64611043641071</v>
      </c>
      <c r="F11" s="17">
        <f>(Pagamentos!$J$6-Pagamentos!$F$6)*C11</f>
        <v>674.24311611296287</v>
      </c>
      <c r="G11" s="18">
        <f t="shared" si="5"/>
        <v>0</v>
      </c>
      <c r="H11" s="105">
        <f>-1*Consumo!$E$23*C11</f>
        <v>124.74385701424852</v>
      </c>
      <c r="I11" s="18">
        <f>MAX(0,I10-H11)</f>
        <v>0</v>
      </c>
      <c r="J11" s="17">
        <f>(Pagamentos!$J$6-Pagamentos!$C$6)*C11</f>
        <v>1066.8725954732158</v>
      </c>
      <c r="K11" s="18">
        <f t="shared" si="4"/>
        <v>0</v>
      </c>
    </row>
    <row r="12" spans="1:11" x14ac:dyDescent="0.25">
      <c r="A12" s="41" t="e">
        <f>#REF!*(1-#REF!)/26</f>
        <v>#REF!</v>
      </c>
      <c r="B12" s="169">
        <f t="shared" ref="B12:B13" si="6">B11+1</f>
        <v>2023</v>
      </c>
      <c r="C12" s="8">
        <f t="shared" si="1"/>
        <v>0.22859346673447861</v>
      </c>
      <c r="D12" s="17">
        <f>-1*Consumo!$E$24*C12</f>
        <v>274.04699165996232</v>
      </c>
      <c r="E12" s="18">
        <f t="shared" si="2"/>
        <v>276.59911877644839</v>
      </c>
      <c r="F12" s="17">
        <f>(Pagamentos!$J$6-Pagamentos!$F$6)*C12</f>
        <v>689.75070778356098</v>
      </c>
      <c r="G12" s="18">
        <f t="shared" si="5"/>
        <v>0</v>
      </c>
      <c r="H12" s="105">
        <f>-1*Consumo!$E$23*C12</f>
        <v>127.61296572557623</v>
      </c>
      <c r="I12" s="18">
        <f>MAX(0,I11-H12)</f>
        <v>0</v>
      </c>
      <c r="J12" s="17">
        <f>(Pagamentos!$J$6-Pagamentos!$C$6)*C12</f>
        <v>1091.4106651690997</v>
      </c>
      <c r="K12" s="18">
        <f t="shared" si="4"/>
        <v>0</v>
      </c>
    </row>
    <row r="13" spans="1:11" ht="15.75" thickBot="1" x14ac:dyDescent="0.3">
      <c r="A13" s="41" t="e">
        <f>#REF!*(1-#REF!)/26</f>
        <v>#REF!</v>
      </c>
      <c r="B13" s="170">
        <f t="shared" si="6"/>
        <v>2024</v>
      </c>
      <c r="C13" s="11">
        <f t="shared" si="1"/>
        <v>0.23385111646937159</v>
      </c>
      <c r="D13" s="19">
        <f>-1*Consumo!$E$24*C13</f>
        <v>280.35007246814143</v>
      </c>
      <c r="E13" s="20">
        <f t="shared" si="2"/>
        <v>0</v>
      </c>
      <c r="F13" s="19">
        <f>(Pagamentos!$J$6-Pagamentos!$F$6)*C13</f>
        <v>705.61497406258286</v>
      </c>
      <c r="G13" s="20">
        <f t="shared" si="5"/>
        <v>0</v>
      </c>
      <c r="H13" s="33">
        <f>-1*Consumo!$E$23*C13</f>
        <v>130.54806393726446</v>
      </c>
      <c r="I13" s="20">
        <f>MAX(0,I12-H13)</f>
        <v>0</v>
      </c>
      <c r="J13" s="19">
        <f>(Pagamentos!$J$6-Pagamentos!$C$6)*C13</f>
        <v>1116.5131104679888</v>
      </c>
      <c r="K13" s="20">
        <f t="shared" si="4"/>
        <v>0</v>
      </c>
    </row>
    <row r="14" spans="1:11" x14ac:dyDescent="0.25">
      <c r="A14" s="41" t="e">
        <f>#REF!*(1-#REF!)/26</f>
        <v>#REF!</v>
      </c>
      <c r="B14" s="41"/>
      <c r="C14" s="41"/>
      <c r="D14" s="41"/>
    </row>
    <row r="15" spans="1:11" x14ac:dyDescent="0.25">
      <c r="A15" s="41" t="e">
        <f>#REF!*(1-#REF!)/26</f>
        <v>#REF!</v>
      </c>
      <c r="B15" t="s">
        <v>29</v>
      </c>
      <c r="C15" s="41"/>
      <c r="D15" s="41"/>
    </row>
    <row r="16" spans="1:11" x14ac:dyDescent="0.25">
      <c r="A16" s="41" t="e">
        <f>#REF!*(1-#REF!)/26</f>
        <v>#REF!</v>
      </c>
      <c r="C16" s="41"/>
      <c r="D16" s="41"/>
    </row>
    <row r="17" spans="1:9" x14ac:dyDescent="0.25">
      <c r="A17" s="41" t="e">
        <f>#REF!*(1-#REF!)/26</f>
        <v>#REF!</v>
      </c>
      <c r="B17" t="s">
        <v>30</v>
      </c>
      <c r="C17" s="41"/>
      <c r="D17" s="41"/>
    </row>
    <row r="18" spans="1:9" x14ac:dyDescent="0.25">
      <c r="A18" s="41" t="e">
        <f>#REF!*(1-#REF!)/26</f>
        <v>#REF!</v>
      </c>
      <c r="B18" t="str">
        <f>CONCATENATE("    ∙ Investimento inicial do aerogerador: "&amp;Inputs!C8&amp;" €")</f>
        <v xml:space="preserve">    ∙ Investimento inicial do aerogerador: 800 €</v>
      </c>
      <c r="C18" s="41"/>
      <c r="D18" s="41"/>
    </row>
    <row r="19" spans="1:9" x14ac:dyDescent="0.25">
      <c r="A19" s="41" t="e">
        <f>#REF!*(1-#REF!)/26</f>
        <v>#REF!</v>
      </c>
      <c r="B19" t="str">
        <f>CONCATENATE("    ∙ Investimento inicial dos paineis fotovoltaicos: "&amp;Inputs!C9&amp;" €")</f>
        <v xml:space="preserve">    ∙ Investimento inicial dos paineis fotovoltaicos: 2304 €</v>
      </c>
      <c r="C19" s="41"/>
      <c r="D19" s="41"/>
    </row>
    <row r="20" spans="1:9" x14ac:dyDescent="0.25">
      <c r="A20" s="41" t="e">
        <f>#REF!*(1-#REF!)/26</f>
        <v>#REF!</v>
      </c>
      <c r="B20" t="str">
        <f>CONCATENATE("    ∙ Investimento inicial da bomba de calor AQS: "&amp;Inputs!C7&amp;" €")</f>
        <v xml:space="preserve">    ∙ Investimento inicial da bomba de calor AQS: 2000 €</v>
      </c>
      <c r="C20" s="41"/>
      <c r="D20" s="41"/>
    </row>
    <row r="21" spans="1:9" ht="15" customHeight="1" x14ac:dyDescent="0.25">
      <c r="A21" s="41" t="e">
        <f>#REF!*(1-#REF!)/26</f>
        <v>#REF!</v>
      </c>
      <c r="B21" t="str">
        <f>CONCATENATE("    ∙ Produção anual do aerogerador: "&amp;Inputs!C6*SUM(Eolica!G20:G24)/1000&amp;" kWh")</f>
        <v xml:space="preserve">    ∙ Produção anual do aerogerador: 764,73 kWh</v>
      </c>
      <c r="C21" s="41"/>
      <c r="D21" s="41"/>
      <c r="F21" s="102"/>
      <c r="G21" s="102"/>
      <c r="H21" s="102"/>
      <c r="I21" s="102"/>
    </row>
    <row r="22" spans="1:9" x14ac:dyDescent="0.25">
      <c r="A22" s="41" t="e">
        <f>#REF!*(1-#REF!)/26</f>
        <v>#REF!</v>
      </c>
      <c r="B22" t="str">
        <f>CONCATENATE("    ∙ Produção anual dos paineis: "&amp;Inputs!C5*1.462&amp;" kWh")</f>
        <v xml:space="preserve">    ∙ Produção anual dos paineis: 1462 kWh</v>
      </c>
      <c r="C22" s="41"/>
      <c r="D22" s="41"/>
      <c r="F22" s="102"/>
      <c r="G22" s="102"/>
      <c r="H22" s="102"/>
      <c r="I22" s="102"/>
    </row>
    <row r="23" spans="1:9" x14ac:dyDescent="0.25">
      <c r="A23" s="41"/>
      <c r="B23" s="103" t="s">
        <v>81</v>
      </c>
      <c r="C23" s="41"/>
      <c r="D23" s="41"/>
      <c r="F23" s="56"/>
      <c r="G23" s="56"/>
      <c r="H23" s="56"/>
      <c r="I23" s="56"/>
    </row>
    <row r="24" spans="1:9" x14ac:dyDescent="0.25">
      <c r="A24" s="41"/>
      <c r="B24" s="103" t="s">
        <v>82</v>
      </c>
      <c r="C24" s="41"/>
      <c r="D24" s="41"/>
    </row>
    <row r="25" spans="1:9" ht="22.5" customHeight="1" x14ac:dyDescent="0.25"/>
    <row r="26" spans="1:9" x14ac:dyDescent="0.25">
      <c r="B26" t="s">
        <v>33</v>
      </c>
    </row>
    <row r="27" spans="1:9" x14ac:dyDescent="0.25">
      <c r="B27" t="str">
        <f>CONCATENATE("    ∙ Retorno do investimento no aerogerador: "&amp;INDEX(B5:B13,MATCH(0,I5:I13,0),0)-B5+1&amp;" anos")</f>
        <v xml:space="preserve">    ∙ Retorno do investimento no aerogerador: 7 anos</v>
      </c>
    </row>
    <row r="28" spans="1:9" x14ac:dyDescent="0.25">
      <c r="B28" t="str">
        <f>CONCATENATE("    ∙ Retorno do investimento nos paineis: "&amp;INDEX(B5:B13,MATCH(0,E5:E13,0),0)-B5+1&amp;" anos")</f>
        <v xml:space="preserve">    ∙ Retorno do investimento nos paineis: 9 anos</v>
      </c>
    </row>
    <row r="29" spans="1:9" x14ac:dyDescent="0.25">
      <c r="B29" t="str">
        <f>CONCATENATE("    ∙ Retorno do investimento na bomba de calor para AQS: "&amp;INDEX(B5:B13,MATCH(0,G5:G13,0),0)-B5+1&amp;" anos")</f>
        <v xml:space="preserve">    ∙ Retorno do investimento na bomba de calor para AQS: 4 anos</v>
      </c>
    </row>
    <row r="30" spans="1:9" x14ac:dyDescent="0.25">
      <c r="B30" t="str">
        <f>CONCATENATE("    ∙ Retorno do investimento conjunto Aerogerador + Paineis + BC AQS: "&amp;INDEX(B5:B13,MATCH(0,K5:K13,0),0)-B5+1&amp;" anos")</f>
        <v xml:space="preserve">    ∙ Retorno do investimento conjunto Aerogerador + Paineis + BC AQS: 6 anos</v>
      </c>
    </row>
    <row r="31" spans="1:9" x14ac:dyDescent="0.25">
      <c r="B31" t="str">
        <f>CONCATENATE("    ∙ Após o investimento estar pago, a poupança gerada anualmente é superior a "&amp;IF(ROUND(J13,-2)&gt;J13,ROUND(J13,-2)-100,ROUND(J13,-2))&amp;" €")</f>
        <v xml:space="preserve">    ∙ Após o investimento estar pago, a poupança gerada anualmente é superior a 1100 €</v>
      </c>
    </row>
  </sheetData>
  <sheetProtection algorithmName="SHA-512" hashValue="PFM/LcFa+qYRy85R0Fcz6JYA4x7trJ5U/vjTyOB0MvDjMr8lLEQS/Hsc52MNz745u97PCN9XHKbEulxceo0QSA==" saltValue="VKD6ACU67MNdfk9dHEV1OA==" spinCount="100000" sheet="1" objects="1" scenarios="1"/>
  <mergeCells count="5">
    <mergeCell ref="B1:F2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Aux</vt:lpstr>
      <vt:lpstr>Inputs</vt:lpstr>
      <vt:lpstr>Consumo</vt:lpstr>
      <vt:lpstr>Eolica</vt:lpstr>
      <vt:lpstr>Pagamentos</vt:lpstr>
      <vt:lpstr>Retorno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marcoara</dc:creator>
  <cp:lastModifiedBy>marcoara</cp:lastModifiedBy>
  <dcterms:created xsi:type="dcterms:W3CDTF">2016-01-29T15:22:16Z</dcterms:created>
  <dcterms:modified xsi:type="dcterms:W3CDTF">2016-02-16T17:15:24Z</dcterms:modified>
</cp:coreProperties>
</file>